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renos.eafit.edu.co/gestion-administrativa/diaf/compras/Otros/"/>
    </mc:Choice>
  </mc:AlternateContent>
  <xr:revisionPtr revIDLastSave="0" documentId="13_ncr:1_{579555DA-7458-428D-91F2-7FFC616BB535}" xr6:coauthVersionLast="47" xr6:coauthVersionMax="47" xr10:uidLastSave="{00000000-0000-0000-0000-000000000000}"/>
  <bookViews>
    <workbookView xWindow="-120" yWindow="-120" windowWidth="29040" windowHeight="15720" tabRatio="848" firstSheet="3" activeTab="3" xr2:uid="{00000000-000D-0000-FFFF-FFFF00000000}"/>
  </bookViews>
  <sheets>
    <sheet name="Hoteles nuevos" sheetId="1" state="hidden" r:id="rId1"/>
    <sheet name="Valor viáticos ciudades-2017" sheetId="2" state="hidden" r:id="rId2"/>
    <sheet name="TARIFAS COMPARATIVAS " sheetId="10" state="hidden" r:id="rId3"/>
    <sheet name="VIÁTICOS CIUDADES-2021" sheetId="7" r:id="rId4"/>
    <sheet name="A NIVEL NACIONAL" sheetId="8" r:id="rId5"/>
    <sheet name="PUEBLOS-ANTIOQUIA" sheetId="9" r:id="rId6"/>
    <sheet name="TOTAL NOCHES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7" l="1"/>
  <c r="E45" i="7"/>
  <c r="E47" i="7"/>
  <c r="H80" i="8" l="1"/>
  <c r="T78" i="9"/>
  <c r="T77" i="9"/>
  <c r="T69" i="9"/>
  <c r="T60" i="9"/>
  <c r="T52" i="9"/>
  <c r="T43" i="9"/>
  <c r="T34" i="9"/>
  <c r="T26" i="9"/>
  <c r="T17" i="9"/>
  <c r="T9" i="9"/>
  <c r="Q85" i="9"/>
  <c r="Q77" i="9"/>
  <c r="Q69" i="9"/>
  <c r="Q60" i="9"/>
  <c r="Q52" i="9"/>
  <c r="Q43" i="9"/>
  <c r="Q34" i="9"/>
  <c r="Q26" i="9"/>
  <c r="Q17" i="9"/>
  <c r="Q9" i="9"/>
  <c r="N52" i="9"/>
  <c r="N43" i="9"/>
  <c r="N35" i="9"/>
  <c r="N26" i="9"/>
  <c r="N17" i="9"/>
  <c r="N9" i="9"/>
  <c r="K43" i="9" l="1"/>
  <c r="K77" i="9"/>
  <c r="K69" i="9"/>
  <c r="K60" i="9"/>
  <c r="K52" i="9"/>
  <c r="K34" i="9"/>
  <c r="K26" i="9"/>
  <c r="K17" i="9"/>
  <c r="K9" i="9"/>
  <c r="H85" i="9"/>
  <c r="H77" i="9"/>
  <c r="H69" i="9"/>
  <c r="H61" i="9"/>
  <c r="H60" i="9"/>
  <c r="H52" i="9"/>
  <c r="H43" i="9"/>
  <c r="H35" i="9"/>
  <c r="H27" i="9"/>
  <c r="H26" i="9"/>
  <c r="H17" i="9"/>
  <c r="H9" i="9"/>
  <c r="E43" i="9"/>
  <c r="E34" i="9"/>
  <c r="E26" i="9"/>
  <c r="E17" i="9"/>
  <c r="E9" i="9"/>
  <c r="B70" i="9"/>
  <c r="B69" i="9"/>
  <c r="B60" i="9"/>
  <c r="B52" i="9"/>
  <c r="B34" i="9"/>
  <c r="B26" i="9"/>
  <c r="B17" i="9"/>
  <c r="B9" i="9"/>
  <c r="B43" i="9"/>
  <c r="N61" i="8"/>
  <c r="N60" i="8"/>
  <c r="N50" i="8"/>
  <c r="H60" i="8"/>
  <c r="H61" i="8"/>
  <c r="H51" i="8"/>
  <c r="H50" i="8"/>
  <c r="H41" i="8"/>
  <c r="H40" i="8"/>
  <c r="N41" i="8"/>
  <c r="N40" i="8"/>
  <c r="N29" i="8"/>
  <c r="N20" i="8"/>
  <c r="N19" i="8"/>
  <c r="N10" i="8"/>
  <c r="N9" i="8"/>
  <c r="K10" i="8"/>
  <c r="K9" i="8"/>
  <c r="K19" i="8"/>
  <c r="K20" i="8"/>
  <c r="K30" i="8"/>
  <c r="K29" i="8"/>
  <c r="K50" i="8"/>
  <c r="K51" i="8"/>
  <c r="K52" i="8"/>
  <c r="K60" i="8"/>
  <c r="K71" i="8"/>
  <c r="K70" i="8"/>
  <c r="H71" i="8"/>
  <c r="H70" i="8"/>
  <c r="H29" i="8"/>
  <c r="H20" i="8"/>
  <c r="H19" i="8"/>
  <c r="H10" i="8"/>
  <c r="H9" i="8"/>
  <c r="E99" i="8"/>
  <c r="E91" i="8"/>
  <c r="E90" i="8"/>
  <c r="E82" i="8"/>
  <c r="E81" i="8"/>
  <c r="E80" i="8"/>
  <c r="E71" i="8"/>
  <c r="E70" i="8"/>
  <c r="E61" i="8"/>
  <c r="E60" i="8"/>
  <c r="E50" i="8"/>
  <c r="E41" i="8"/>
  <c r="E40" i="8"/>
  <c r="E29" i="8"/>
  <c r="E19" i="8"/>
  <c r="E9" i="8"/>
  <c r="B71" i="8"/>
  <c r="B60" i="8"/>
  <c r="B51" i="8"/>
  <c r="B41" i="8"/>
  <c r="B40" i="8"/>
  <c r="B29" i="8"/>
  <c r="B19" i="8"/>
  <c r="B9" i="8"/>
  <c r="K9" i="7"/>
  <c r="H8" i="7"/>
  <c r="E10" i="7"/>
  <c r="Q33" i="7"/>
  <c r="Q32" i="7"/>
  <c r="Q21" i="7"/>
  <c r="Q20" i="7"/>
  <c r="Q10" i="7"/>
  <c r="Q9" i="7"/>
  <c r="Q8" i="7"/>
  <c r="N34" i="7"/>
  <c r="N33" i="7"/>
  <c r="N20" i="7"/>
  <c r="N22" i="7"/>
  <c r="N21" i="7"/>
  <c r="N10" i="7"/>
  <c r="N9" i="7"/>
  <c r="N8" i="7"/>
  <c r="K32" i="7"/>
  <c r="K33" i="7"/>
  <c r="K34" i="7"/>
  <c r="K22" i="7"/>
  <c r="K21" i="7"/>
  <c r="K20" i="7"/>
  <c r="K11" i="7"/>
  <c r="K10" i="7"/>
  <c r="H32" i="7"/>
  <c r="H34" i="7"/>
  <c r="E34" i="7"/>
  <c r="H22" i="7"/>
  <c r="E22" i="7"/>
  <c r="H21" i="7"/>
  <c r="H20" i="7"/>
  <c r="H9" i="7"/>
  <c r="E33" i="7"/>
  <c r="E32" i="7"/>
  <c r="E20" i="7"/>
  <c r="E21" i="7"/>
  <c r="E9" i="7"/>
  <c r="B46" i="7"/>
  <c r="B45" i="7"/>
  <c r="B44" i="7"/>
  <c r="B33" i="7"/>
  <c r="B32" i="7"/>
  <c r="B20" i="7"/>
  <c r="B21" i="7"/>
  <c r="B22" i="7"/>
  <c r="B10" i="7"/>
  <c r="B9" i="7"/>
  <c r="H33" i="7" l="1"/>
  <c r="H35" i="7" s="1"/>
  <c r="N32" i="7"/>
  <c r="N34" i="9"/>
  <c r="Q93" i="9"/>
  <c r="L4" i="10"/>
  <c r="N4" i="10"/>
  <c r="G6" i="10"/>
  <c r="H6" i="10" s="1"/>
  <c r="D8" i="10"/>
  <c r="G5" i="10"/>
  <c r="G4" i="10"/>
  <c r="H4" i="10" s="1"/>
  <c r="H8" i="10" s="1"/>
  <c r="D5" i="10"/>
  <c r="H5" i="10" s="1"/>
  <c r="D6" i="10"/>
  <c r="D4" i="10"/>
  <c r="M4" i="10"/>
  <c r="K4" i="10"/>
  <c r="K6" i="10"/>
  <c r="O6" i="10" s="1"/>
  <c r="M6" i="10"/>
  <c r="L6" i="10"/>
  <c r="N6" i="10" s="1"/>
  <c r="M5" i="10"/>
  <c r="L5" i="10"/>
  <c r="N5" i="10" s="1"/>
  <c r="J6" i="10"/>
  <c r="J5" i="10"/>
  <c r="K5" i="10" s="1"/>
  <c r="J4" i="10"/>
  <c r="K8" i="10" l="1"/>
  <c r="O5" i="10"/>
  <c r="N8" i="10"/>
  <c r="O4" i="10"/>
  <c r="O8" i="10" s="1"/>
  <c r="G8" i="10"/>
  <c r="B70" i="8"/>
  <c r="B50" i="8" l="1"/>
  <c r="K40" i="8"/>
  <c r="K8" i="7" l="1"/>
  <c r="B8" i="7"/>
  <c r="B47" i="7" l="1"/>
  <c r="Q11" i="7" l="1"/>
  <c r="N35" i="7" l="1"/>
  <c r="N23" i="7"/>
  <c r="N11" i="7"/>
  <c r="K35" i="7"/>
  <c r="K23" i="7"/>
  <c r="E11" i="7"/>
  <c r="K12" i="7"/>
  <c r="E35" i="7"/>
  <c r="E23" i="7"/>
  <c r="H23" i="7"/>
  <c r="H11" i="7"/>
  <c r="B11" i="7"/>
  <c r="B23" i="7"/>
  <c r="E9" i="2" l="1"/>
  <c r="B30" i="2" l="1"/>
  <c r="E30" i="2"/>
  <c r="H48" i="2" l="1"/>
  <c r="H50" i="2" s="1"/>
  <c r="H9" i="2" l="1"/>
  <c r="N71" i="6"/>
  <c r="M71" i="6"/>
  <c r="L71" i="6"/>
  <c r="K71" i="6"/>
  <c r="J71" i="6"/>
  <c r="I71" i="6"/>
  <c r="G71" i="6"/>
  <c r="F71" i="6"/>
  <c r="E71" i="6"/>
  <c r="D71" i="6"/>
  <c r="C71" i="6"/>
  <c r="O70" i="6"/>
  <c r="O69" i="6"/>
  <c r="O68" i="6"/>
  <c r="O67" i="6"/>
  <c r="O66" i="6"/>
  <c r="O65" i="6"/>
  <c r="O64" i="6"/>
  <c r="O63" i="6"/>
  <c r="O62" i="6"/>
  <c r="O60" i="6"/>
  <c r="O58" i="6"/>
  <c r="O57" i="6"/>
  <c r="O56" i="6"/>
  <c r="O54" i="6"/>
  <c r="O53" i="6"/>
  <c r="O51" i="6"/>
  <c r="O50" i="6"/>
  <c r="O48" i="6"/>
  <c r="O46" i="6"/>
  <c r="O45" i="6"/>
  <c r="O44" i="6"/>
  <c r="H43" i="6"/>
  <c r="O43" i="6" s="1"/>
  <c r="O42" i="6"/>
  <c r="O40" i="6"/>
  <c r="O39" i="6"/>
  <c r="O38" i="6"/>
  <c r="H36" i="6"/>
  <c r="O36" i="6" s="1"/>
  <c r="O35" i="6"/>
  <c r="O33" i="6"/>
  <c r="O32" i="6"/>
  <c r="H31" i="6"/>
  <c r="O31" i="6" s="1"/>
  <c r="O29" i="6"/>
  <c r="O28" i="6"/>
  <c r="O27" i="6"/>
  <c r="O26" i="6"/>
  <c r="O25" i="6"/>
  <c r="O24" i="6"/>
  <c r="O23" i="6"/>
  <c r="O22" i="6"/>
  <c r="O21" i="6"/>
  <c r="O20" i="6"/>
  <c r="O19" i="6"/>
  <c r="O18" i="6"/>
  <c r="O16" i="6"/>
  <c r="O15" i="6"/>
  <c r="O14" i="6"/>
  <c r="H13" i="6"/>
  <c r="O12" i="6"/>
  <c r="O11" i="6"/>
  <c r="O10" i="6"/>
  <c r="H9" i="6"/>
  <c r="O9" i="6" s="1"/>
  <c r="O8" i="6"/>
  <c r="O7" i="6"/>
  <c r="O6" i="6"/>
  <c r="H5" i="6"/>
  <c r="O5" i="6" s="1"/>
  <c r="O4" i="6"/>
  <c r="O3" i="6"/>
  <c r="H71" i="6" l="1"/>
  <c r="O13" i="6"/>
  <c r="O71" i="6" s="1"/>
  <c r="B9" i="2"/>
  <c r="B20" i="2" l="1"/>
  <c r="E50" i="2" l="1"/>
  <c r="E40" i="2"/>
  <c r="H40" i="2"/>
  <c r="H20" i="2"/>
  <c r="E20" i="2"/>
  <c r="H30" i="2" l="1"/>
  <c r="B50" i="2"/>
  <c r="B40" i="2"/>
  <c r="Q22" i="7"/>
  <c r="Q34" i="7"/>
  <c r="B34" i="7"/>
</calcChain>
</file>

<file path=xl/sharedStrings.xml><?xml version="1.0" encoding="utf-8"?>
<sst xmlns="http://schemas.openxmlformats.org/spreadsheetml/2006/main" count="1468" uniqueCount="631">
  <si>
    <t>INFORME HOTELES NUEVOS- 2016-2017</t>
  </si>
  <si>
    <t>CIUDAD</t>
  </si>
  <si>
    <t xml:space="preserve">CATEGORIA </t>
  </si>
  <si>
    <t>NRO. NOCHES 2017</t>
  </si>
  <si>
    <t>DIRECCION</t>
  </si>
  <si>
    <t>DISTANCIA CENTRO</t>
  </si>
  <si>
    <t>TELEFONOS</t>
  </si>
  <si>
    <t>CONTACTO</t>
  </si>
  <si>
    <t>ARMENIA HOTEL</t>
  </si>
  <si>
    <t>Armenia Hotel S.A</t>
  </si>
  <si>
    <t>Avda Bolivar  Cll 8 Norte  Nro 13-46</t>
  </si>
  <si>
    <t>5,4km centro</t>
  </si>
  <si>
    <t>(6) 746-00-99</t>
  </si>
  <si>
    <t>Mocawa</t>
  </si>
  <si>
    <t>-</t>
  </si>
  <si>
    <t>Carrera 14 9N 00</t>
  </si>
  <si>
    <t xml:space="preserve">(6) 7359593  </t>
  </si>
  <si>
    <t>Isa Victory Hotel Boutique</t>
  </si>
  <si>
    <t>Carrera 14 # 21 Norte - 47</t>
  </si>
  <si>
    <t>6.4km centro</t>
  </si>
  <si>
    <t>(6) 734 09 09</t>
  </si>
  <si>
    <t>Hotel Bolivar Plaza</t>
  </si>
  <si>
    <t>Calle 21#14-17</t>
  </si>
  <si>
    <t>21mts centro</t>
  </si>
  <si>
    <t>(6) 741 00 83</t>
  </si>
  <si>
    <t>Hotel Zuldemayda</t>
  </si>
  <si>
    <t>Calle 20 Nº 15-38</t>
  </si>
  <si>
    <t>3.5km centro - 30min aeropuerto</t>
  </si>
  <si>
    <t>(6) 741 05 80</t>
  </si>
  <si>
    <t>BARANQUILLA</t>
  </si>
  <si>
    <t>Sonesta</t>
  </si>
  <si>
    <t>Calle 106 Nro. 50-11</t>
  </si>
  <si>
    <t>5km centro</t>
  </si>
  <si>
    <t>( 5) 385 60 60</t>
  </si>
  <si>
    <t>Nh Collection Royal Smartsuites</t>
  </si>
  <si>
    <t>Calle 80 No. 51 B - 25</t>
  </si>
  <si>
    <t>3,1km centro - 30min aeropuerto</t>
  </si>
  <si>
    <t>(5) 373 80 80 - (5) 367 98 10</t>
  </si>
  <si>
    <t>Four Points Sheraton</t>
  </si>
  <si>
    <t>Carrera 53 No 79 – 212</t>
  </si>
  <si>
    <t>3,2km centro</t>
  </si>
  <si>
    <t> (5) 367 97 77</t>
  </si>
  <si>
    <t>Barranquilla Plaza</t>
  </si>
  <si>
    <t>Carrera 51B #79-246</t>
  </si>
  <si>
    <t>18km aeropuerto</t>
  </si>
  <si>
    <t>(5) 361 03 69 - (5) 361 03 33</t>
  </si>
  <si>
    <t xml:space="preserve">GHL Collection Barranquilla </t>
  </si>
  <si>
    <t>Calle 107 N° 50 - 69</t>
  </si>
  <si>
    <t>24km aeropueto - 5.1km centro</t>
  </si>
  <si>
    <t>(5) 311 11 44</t>
  </si>
  <si>
    <t>Movich Buro 51</t>
  </si>
  <si>
    <t>Calle 94 No 51B - 43</t>
  </si>
  <si>
    <t>15km aeropuerto - 4.1km centro</t>
  </si>
  <si>
    <t>(5) 331 99 99</t>
  </si>
  <si>
    <t>Dann Carlton- Barranquilla</t>
  </si>
  <si>
    <t>Calle 98 No 52B-10</t>
  </si>
  <si>
    <t>22km aeropuerto - 4.5km centro</t>
  </si>
  <si>
    <t>(5) 367 77 77 - (5) 373 77 77</t>
  </si>
  <si>
    <t>Hotel Atrium Plaza</t>
  </si>
  <si>
    <t>Cra 44 No 74-85.</t>
  </si>
  <si>
    <t>25min aeropuerto - 1.9km centro</t>
  </si>
  <si>
    <t>(5) 368 19 99</t>
  </si>
  <si>
    <t>Washington Plaza Hotel</t>
  </si>
  <si>
    <t>Carrera 53 No 79 - 221</t>
  </si>
  <si>
    <t>3.2 km centro - 26km centro</t>
  </si>
  <si>
    <t>(5) 319 98 00</t>
  </si>
  <si>
    <t>BUCARAMANGA</t>
  </si>
  <si>
    <t>Hotel Chicamocha</t>
  </si>
  <si>
    <t>Calle 34 N. 31-24</t>
  </si>
  <si>
    <t xml:space="preserve">2,1 km centro </t>
  </si>
  <si>
    <t>(7) 634 30 00</t>
  </si>
  <si>
    <t>Dann Carlton</t>
  </si>
  <si>
    <t>Calle 47 No 28-83</t>
  </si>
  <si>
    <t>23km aeropuerto - 1.5km centro</t>
  </si>
  <si>
    <t>(7) 697 32 66</t>
  </si>
  <si>
    <t>Hotel Internacional la Triada</t>
  </si>
  <si>
    <t>Cra. 20 #34--22</t>
  </si>
  <si>
    <t>23km aeropuerto - 1.8km centro</t>
  </si>
  <si>
    <t>(7) 642 24 10</t>
  </si>
  <si>
    <t>Hotel Cabecera Country</t>
  </si>
  <si>
    <t>Calle 48 No 34-29</t>
  </si>
  <si>
    <t>30min aeropuerto - 1.5km centro</t>
  </si>
  <si>
    <t>(7) 647 50 60</t>
  </si>
  <si>
    <t>Hotel Tryp Bucaramanga</t>
  </si>
  <si>
    <t>Carrera 38 # 48 66</t>
  </si>
  <si>
    <t>25min aeropuerto - 1.6km centro</t>
  </si>
  <si>
    <t xml:space="preserve"> (7) 643 30 30 </t>
  </si>
  <si>
    <t>CALI</t>
  </si>
  <si>
    <t>Calle 18 norte Nro. 4n - 08</t>
  </si>
  <si>
    <t>4,1km centro</t>
  </si>
  <si>
    <t>(2) 685 99 99</t>
  </si>
  <si>
    <t>NH Royal Radisson</t>
  </si>
  <si>
    <t>Cra 100b Nro, 11a - 99</t>
  </si>
  <si>
    <t>6 km centro</t>
  </si>
  <si>
    <t>(2) 330 77 77</t>
  </si>
  <si>
    <t>Cali Marriott Hotel</t>
  </si>
  <si>
    <t>Avenida 8 Norte # 9-60- Cali, Valle del Cauca</t>
  </si>
  <si>
    <t>25km aeropuerto - 4.2km centro</t>
  </si>
  <si>
    <t>(2) 485 45 45</t>
  </si>
  <si>
    <t>Daniela Garcés Aljure - ext:5105 daniela.garces@r-hr.com</t>
  </si>
  <si>
    <t xml:space="preserve">Hotel Dann Carlton </t>
  </si>
  <si>
    <t>Carrera 2 N. 1 - 60 (Queda al Norte )</t>
  </si>
  <si>
    <t>22km aeropuerto - 3.5 km centro</t>
  </si>
  <si>
    <t>(2) 893 30 00 - (2) 886 20 00</t>
  </si>
  <si>
    <t>reservas@hotelesdanncali.com.co</t>
  </si>
  <si>
    <t>Hotel Movich Casa Del Alférez</t>
  </si>
  <si>
    <t>Av 9N 9-24 Sector B</t>
  </si>
  <si>
    <t>18km aeropuerto - 3.5km centro</t>
  </si>
  <si>
    <t xml:space="preserve"> (2) 397 50 50</t>
  </si>
  <si>
    <t>Luisa Fernanda Bernal – ext. 190 -  luisa.bernal@movichhotels.com</t>
  </si>
  <si>
    <t>Torre De Cali Plaza</t>
  </si>
  <si>
    <t>Av. de las Americas 18 N 26</t>
  </si>
  <si>
    <t>20 km aeropuerto - 4 km centro</t>
  </si>
  <si>
    <t>(2) 667 49 49</t>
  </si>
  <si>
    <t>amv@hoteltorredecali.com</t>
  </si>
  <si>
    <t>Hotel Spiwak Chipichape</t>
  </si>
  <si>
    <t>Av. 6D N. 36N-18</t>
  </si>
  <si>
    <t>23 km aeropuerto - 4 km centro</t>
  </si>
  <si>
    <t>395 99 49-395 99 99</t>
  </si>
  <si>
    <t>reservas@spiwak.com</t>
  </si>
  <si>
    <t>Hotel Ms Ciudad Jardin Plus (Radisson)</t>
  </si>
  <si>
    <t>Carrera 101 N. 15A 35 (Queda al Sur)</t>
  </si>
  <si>
    <t>32 km aeropuerto - 6.3 km  centro</t>
  </si>
  <si>
    <t>(2) 315 60 60</t>
  </si>
  <si>
    <t>CARTAGENA</t>
  </si>
  <si>
    <t>Caribe</t>
  </si>
  <si>
    <t>Cra 1 Nro  2 - 87</t>
  </si>
  <si>
    <t>10min del aeropuerto - 4,2 km centro</t>
  </si>
  <si>
    <t>(5) 251 46 02</t>
  </si>
  <si>
    <t>RNT 35989</t>
  </si>
  <si>
    <t>Capilla del Mar</t>
  </si>
  <si>
    <t>Avda Melacon Cra 1 Nro 8 - 12</t>
  </si>
  <si>
    <t>10min del aeropuerto - 3,4 km centro</t>
  </si>
  <si>
    <t>Movich Hotel Cartagena De Indias</t>
  </si>
  <si>
    <t>Centro Calle Velez Danies No 4-39</t>
  </si>
  <si>
    <t>2.8km centro</t>
  </si>
  <si>
    <t>(5) 660 01 33</t>
  </si>
  <si>
    <t>Hotel Almirante</t>
  </si>
  <si>
    <t>Avenida San Martín # 6-5</t>
  </si>
  <si>
    <t>Bocagrande</t>
  </si>
  <si>
    <t>(5) 665 88 11</t>
  </si>
  <si>
    <t>Radisson Cartagena Ocean Pavillion Hotel</t>
  </si>
  <si>
    <t>Carrera 9 Number 22 - 850</t>
  </si>
  <si>
    <t>La Boquilla - 3km aeropuerto</t>
  </si>
  <si>
    <t xml:space="preserve"> (5) 656 90 71</t>
  </si>
  <si>
    <t>Americas Torre del Mar</t>
  </si>
  <si>
    <t>Cartagena Millennium Hotel</t>
  </si>
  <si>
    <t xml:space="preserve">Avenida San Martin No 7 135 </t>
  </si>
  <si>
    <t>(5) 642 47 47</t>
  </si>
  <si>
    <t>Las Americas</t>
  </si>
  <si>
    <t>Anillo vial, Sector Cielo Mar</t>
  </si>
  <si>
    <t>Bocagrande - 5 Minutos del Aeropuerto</t>
  </si>
  <si>
    <t>316 416 00 83</t>
  </si>
  <si>
    <t>Natalia Uribe</t>
  </si>
  <si>
    <t>Armeria Real Luxury Hotel</t>
  </si>
  <si>
    <t>Cll del Pedregal N. 25-28</t>
  </si>
  <si>
    <t>16 minutos del Aeropuerto</t>
  </si>
  <si>
    <t>651 74 60</t>
  </si>
  <si>
    <t>Estelar Cartagena</t>
  </si>
  <si>
    <t>Cra 1 N. 11-116</t>
  </si>
  <si>
    <t>10 Minutos del Aeropuerto</t>
  </si>
  <si>
    <t>651 73 03</t>
  </si>
  <si>
    <t>Bastion Luxury Hotel</t>
  </si>
  <si>
    <t>Cll Sargento Mayor N. 6-87</t>
  </si>
  <si>
    <t>642 41 00</t>
  </si>
  <si>
    <t>MANIZALES</t>
  </si>
  <si>
    <t>Varuna</t>
  </si>
  <si>
    <t>Calle 62 Nro. 23c - 18</t>
  </si>
  <si>
    <t>(6) 881 11 22</t>
  </si>
  <si>
    <t>Quo Quality Hotel</t>
  </si>
  <si>
    <t>CALLE 66 A # 26 A - 28</t>
  </si>
  <si>
    <t>15min aeropuerto - 1.2km centro</t>
  </si>
  <si>
    <t>(6) 893 03 20</t>
  </si>
  <si>
    <t>Hotel Estelar El Cable</t>
  </si>
  <si>
    <t>Carrera 23 C Nº 64A-60</t>
  </si>
  <si>
    <t>1.1km centro</t>
  </si>
  <si>
    <t xml:space="preserve"> (6) 887 96 90</t>
  </si>
  <si>
    <t>Hotel Carretero</t>
  </si>
  <si>
    <t>Carrera 23 35A-31</t>
  </si>
  <si>
    <t>1.4km centro</t>
  </si>
  <si>
    <t>(6) 887 91 90 - (6) 887 91 91</t>
  </si>
  <si>
    <t>Hotel Estelar Las Colinas</t>
  </si>
  <si>
    <t>CR 22# 20-20</t>
  </si>
  <si>
    <t>11km manizales - 2.6km centro</t>
  </si>
  <si>
    <t>(6) 884 20 09</t>
  </si>
  <si>
    <t>PASTO</t>
  </si>
  <si>
    <t>Hotel Cuellar's</t>
  </si>
  <si>
    <t>Carrera 23 No 15-50</t>
  </si>
  <si>
    <t>32km aeropuerto - 1.1km centro</t>
  </si>
  <si>
    <t>(2) 723 28 79</t>
  </si>
  <si>
    <t>Hotel Don Saul</t>
  </si>
  <si>
    <t>Calle 17 No 23-52</t>
  </si>
  <si>
    <t>965mts centro</t>
  </si>
  <si>
    <t>(2) 722 44 80 - 316 743 47 31</t>
  </si>
  <si>
    <t>Hotel Loft Pasto</t>
  </si>
  <si>
    <t>Calle 18 No 22-33</t>
  </si>
  <si>
    <t>40min aeropuerto - 833mts centro</t>
  </si>
  <si>
    <t>(2) 722 67 37</t>
  </si>
  <si>
    <t>POPAYAN</t>
  </si>
  <si>
    <t>Hotel San Martín</t>
  </si>
  <si>
    <t>CRA 9 18-40</t>
  </si>
  <si>
    <t>5min aeropuerto - 724 mts centro</t>
  </si>
  <si>
    <t>(2) 823 70 70</t>
  </si>
  <si>
    <t>Dann Monasterio</t>
  </si>
  <si>
    <t>Calle 4 10-14</t>
  </si>
  <si>
    <t>(2) 824 21 91</t>
  </si>
  <si>
    <t>Hotel la Plazuela</t>
  </si>
  <si>
    <t>Calle 5 No. 8 -13</t>
  </si>
  <si>
    <t>1.5km aeropuerto - 669mts centro</t>
  </si>
  <si>
    <t>(2) 824 10 84 - (2) 824 10 71</t>
  </si>
  <si>
    <t>NEIVA</t>
  </si>
  <si>
    <t>Hotel Chicala</t>
  </si>
  <si>
    <t>Cll 6 # 2 - 57</t>
  </si>
  <si>
    <t>6.5km aeropuerto - 1.2km centro</t>
  </si>
  <si>
    <t>(8) 871 30 70</t>
  </si>
  <si>
    <t>Ghl Style Neiva</t>
  </si>
  <si>
    <t>Carrera 16 # 42-195</t>
  </si>
  <si>
    <t>10min aeropuerto - 528mts centro</t>
  </si>
  <si>
    <t>(8) 863 07 63</t>
  </si>
  <si>
    <t>Hotel Hosteria Los Dujos</t>
  </si>
  <si>
    <t xml:space="preserve"> Avenida Pastrana No 1 - 06 </t>
  </si>
  <si>
    <t>Frente a la Universidad Surcolombiana - 4.3km centro</t>
  </si>
  <si>
    <t>(8) 875 38 89 - (8) 875 38 23</t>
  </si>
  <si>
    <t>Hotel Neiva Plaza</t>
  </si>
  <si>
    <t>Calle 7 No 4-62</t>
  </si>
  <si>
    <t>6km aeropuerto - 1.1km centro</t>
  </si>
  <si>
    <t xml:space="preserve"> (8) 871 08 06</t>
  </si>
  <si>
    <t>SANTA MARTA</t>
  </si>
  <si>
    <t>Irotama Resort</t>
  </si>
  <si>
    <t>Vía Ciénaga km 14</t>
  </si>
  <si>
    <t>20min del sector del Rodadero - 10min Aeropuerto</t>
  </si>
  <si>
    <t>(5) 438 06 00</t>
  </si>
  <si>
    <t>Hotel Arhuaco</t>
  </si>
  <si>
    <t>Carrera 2 No 6 49</t>
  </si>
  <si>
    <t>El Rodadero - 700mts centro</t>
  </si>
  <si>
    <t>(5) 422 84 92</t>
  </si>
  <si>
    <t>Tamaca Beach Resort Hotel</t>
  </si>
  <si>
    <t>Carrera 2 # 11A - 98</t>
  </si>
  <si>
    <t>El Rodadero</t>
  </si>
  <si>
    <t>(5) 422 70 15</t>
  </si>
  <si>
    <t>Estelar Santamar Hotel</t>
  </si>
  <si>
    <t xml:space="preserve"> Km. 8 Pozos Colorados</t>
  </si>
  <si>
    <t>10km aeropuerto - 9.3km</t>
  </si>
  <si>
    <t>(5) 432 81 81</t>
  </si>
  <si>
    <t>Hotel Be La Sierra</t>
  </si>
  <si>
    <t>Cra 1 No. 9 - 47</t>
  </si>
  <si>
    <t xml:space="preserve">(5) 422 79 60 </t>
  </si>
  <si>
    <t>TOTAL NOCHES EN SANTA MARTA -AGENCIA</t>
  </si>
  <si>
    <t>][Ñ | 0+A1048546/</t>
  </si>
  <si>
    <t>VIÁTICOS MEDELLÍN</t>
  </si>
  <si>
    <t>VIÁTICOS CALI</t>
  </si>
  <si>
    <t>VIÁTICOS BOGOTÁ</t>
  </si>
  <si>
    <t>Desayuno</t>
  </si>
  <si>
    <t>Almuerzo</t>
  </si>
  <si>
    <t>Cena</t>
  </si>
  <si>
    <t>Alojamiento</t>
  </si>
  <si>
    <t>Transporte Ciudad</t>
  </si>
  <si>
    <t>Transporte Aeropuerto JMC $64,016 cada trayecto</t>
  </si>
  <si>
    <t>Transporte Aeropuerto $69.461 cada trayecto</t>
  </si>
  <si>
    <t>Transporte Aeropuerto $25,555 cada trayecto</t>
  </si>
  <si>
    <t>Transporte Aeropuerto EOH $10,205 cada trayecto</t>
  </si>
  <si>
    <t>Transporte Aeropuerto JMC $ 64,016 cada trayecto</t>
  </si>
  <si>
    <t>TOTAL POR DÍA</t>
  </si>
  <si>
    <t>VIÁTICOS PEREIRA</t>
  </si>
  <si>
    <t>VIÁTICOS CARTAGENA</t>
  </si>
  <si>
    <t>Transporte Aeropuerto Matecaña $11,754 cada trayecto</t>
  </si>
  <si>
    <t>Transporte Aeropuerto Rafael Nuñez $18.653 cada trayecto</t>
  </si>
  <si>
    <t>VIÁTICOS BARRANQUILLA</t>
  </si>
  <si>
    <t>VIÁTICOS BUCARAMANGA</t>
  </si>
  <si>
    <t>VIÁTICOS MANIZALES</t>
  </si>
  <si>
    <t>Transporte Aeropuerto Ernesto Cortizos $33.631 cada trayecto</t>
  </si>
  <si>
    <t>Transporte Aeropuerto $34,636 cada trayecto</t>
  </si>
  <si>
    <t>Transporte Aeropuerto La Nubia $ 14,101cada trayecto</t>
  </si>
  <si>
    <t>VIÁTICOS ARMENIA</t>
  </si>
  <si>
    <t>VIÁTICOS POPAYAN</t>
  </si>
  <si>
    <t>VIÁTICOS PASTO</t>
  </si>
  <si>
    <t>Transporte Aeropuerto $26,325 cada trayecto</t>
  </si>
  <si>
    <t>Transporte Aeropuerto GLV $15.129 cada trayecto</t>
  </si>
  <si>
    <t>Transporte Aeropuerto AN $38,793 cada trayecto</t>
  </si>
  <si>
    <t>VIÁTICOS NEIVA</t>
  </si>
  <si>
    <t>VIÁTICOS SANTA MARTA</t>
  </si>
  <si>
    <t>VIÁTICOS APARTADO</t>
  </si>
  <si>
    <t>Transporte Aeropuerto Benito Salas $12,778 cada trayecto</t>
  </si>
  <si>
    <t>Transporte Aeropuerto $22.030 cada trayecto</t>
  </si>
  <si>
    <t>Transporte Aeropuerto $12,926 cada trayecto</t>
  </si>
  <si>
    <t>COMPARATIVOS HOTELES TARIFA DE AISLAMIENTO POR CONTAGIO COVID 19</t>
  </si>
  <si>
    <t>HOTELES</t>
  </si>
  <si>
    <t>NOCHE DE ALOJAMIENTO CUARENTENA 14 DÍAS</t>
  </si>
  <si>
    <t xml:space="preserve">TOTAL 
14 DIAS </t>
  </si>
  <si>
    <t>ALMUERZO DURANTE LA CUARENTENA</t>
  </si>
  <si>
    <t>CENA DURANTE LA CUARENTENA</t>
  </si>
  <si>
    <t>TOTAL ALIMENTACIÓN</t>
  </si>
  <si>
    <r>
      <rPr>
        <b/>
        <sz val="9"/>
        <color rgb="FF000000"/>
        <rFont val="Calibri"/>
        <family val="2"/>
      </rPr>
      <t xml:space="preserve">TOTAL 
ALOJAMIENTO + ALIMENTACIÓN 
</t>
    </r>
    <r>
      <rPr>
        <b/>
        <sz val="8"/>
        <color rgb="FF000000"/>
        <rFont val="Calibri"/>
        <family val="2"/>
      </rPr>
      <t xml:space="preserve">(TARIFA AISLAMIENTO 14 DIAS) </t>
    </r>
  </si>
  <si>
    <t>ALOJAMIENTO</t>
  </si>
  <si>
    <t xml:space="preserve">TOTAL TARIFA ACTUAL
14 DIAS </t>
  </si>
  <si>
    <t xml:space="preserve">ALIMENTACIÓN 
TARIFA ACTUAL </t>
  </si>
  <si>
    <t xml:space="preserve">TOTAL ALIMENTACIÓN
14 DÍAS </t>
  </si>
  <si>
    <t>TOTAL ALOJAMIENTO+
ALIMENTACIÓN</t>
  </si>
  <si>
    <t>TARIFA ACTUAL</t>
  </si>
  <si>
    <t>TOTAL+IVA</t>
  </si>
  <si>
    <t xml:space="preserve">TOTAL ALMUERZO </t>
  </si>
  <si>
    <t>TOTAL
 CENA</t>
  </si>
  <si>
    <t xml:space="preserve">CASA DANN
 BOGOTÁ
</t>
  </si>
  <si>
    <t>NH ROYAL WTC BOGOTÁ</t>
  </si>
  <si>
    <t>30.000 hasta 50.000</t>
  </si>
  <si>
    <t>MOVICH PEREIRA</t>
  </si>
  <si>
    <t>25.000 hasta 48.000</t>
  </si>
  <si>
    <t>VIÁTICOS CALÍ</t>
  </si>
  <si>
    <t>VIÁTICOS IBAGUÉ</t>
  </si>
  <si>
    <t xml:space="preserve">TransporteAeropto El Dorado $30,000 c/t </t>
  </si>
  <si>
    <t xml:space="preserve">Tte.Terrestre (aplica para profes del convenio a la U.San Buenavent)
</t>
  </si>
  <si>
    <t>Transporte Aeropto Matecaña 
$12,700 c/t</t>
  </si>
  <si>
    <t>VIÁTICOS POPAYÁN</t>
  </si>
  <si>
    <t>VIÁTICOS SAN ANDRÉS</t>
  </si>
  <si>
    <t>VIÁTICOS CÚCUTA</t>
  </si>
  <si>
    <t>VIÁTICOS TUNJA</t>
  </si>
  <si>
    <t>VIÁTICOS PROVIDENCIA</t>
  </si>
  <si>
    <t>VIÁTICOS BARRANCABERMEJA</t>
  </si>
  <si>
    <t>BOYACÁ</t>
  </si>
  <si>
    <t>CALDAS</t>
  </si>
  <si>
    <t>LA GUAJIRA</t>
  </si>
  <si>
    <t>SUCRE</t>
  </si>
  <si>
    <t>ARAUCA</t>
  </si>
  <si>
    <t xml:space="preserve">VIÁTICOS BELEN </t>
  </si>
  <si>
    <t>VIÁTICOS CHINCHINA</t>
  </si>
  <si>
    <t>VIÁTICOS RIOHACHA</t>
  </si>
  <si>
    <t>VIÁTICOS ARAUCA</t>
  </si>
  <si>
    <t>PUTUMAYO</t>
  </si>
  <si>
    <t>VIÁTICOS PAIPA</t>
  </si>
  <si>
    <t>VIÁTICOS LA DORADA</t>
  </si>
  <si>
    <t>VIÁTICOS SAN JUAN DEL CESAR</t>
  </si>
  <si>
    <t>VIÁTICOS COROZAL</t>
  </si>
  <si>
    <t>VIÁTICOS PUERTO ASIS</t>
  </si>
  <si>
    <t>AMAZONAS</t>
  </si>
  <si>
    <t>VIÁTICOS PUERTO BOYACÁ</t>
  </si>
  <si>
    <t>VIÁTICOS RIOSUCIO</t>
  </si>
  <si>
    <t>VIÁTICOS URIBIA</t>
  </si>
  <si>
    <t>VIÁTICOS OVEJAS</t>
  </si>
  <si>
    <t>VIÁTICOS LETICIA</t>
  </si>
  <si>
    <t xml:space="preserve">CAQUETA </t>
  </si>
  <si>
    <t>META</t>
  </si>
  <si>
    <t xml:space="preserve">TOLIMA </t>
  </si>
  <si>
    <t>VIÁTICOS SOGAMOSO</t>
  </si>
  <si>
    <t>VIÁTICOS FLORENCIA</t>
  </si>
  <si>
    <t>VIÁTICOS VILLAVICENCIO</t>
  </si>
  <si>
    <t>VIÁTICOS HONDA</t>
  </si>
  <si>
    <t>VIÁTICOS MOCOA</t>
  </si>
  <si>
    <t>Transporte terrestre $51,900 c/t</t>
  </si>
  <si>
    <t>NARIÑO</t>
  </si>
  <si>
    <t>VALLE</t>
  </si>
  <si>
    <t>CHOCO</t>
  </si>
  <si>
    <t>VIÁTICOS DUITAMA</t>
  </si>
  <si>
    <t>VIÁTICOS SAN VICENTE DEL CAGUAN</t>
  </si>
  <si>
    <t>VIÁTICOS IPIALES</t>
  </si>
  <si>
    <t>BUENAVENTURA</t>
  </si>
  <si>
    <t>VIÁTICOS BAHÍA SOLANO</t>
  </si>
  <si>
    <t>Transporte terrestre $25,950
c/t  Bogotá-Duitama</t>
  </si>
  <si>
    <t>CESAR</t>
  </si>
  <si>
    <t>VIÁTICOS VILLA DE LEYVA</t>
  </si>
  <si>
    <t>VIÁTICOS VALLEDUPAR</t>
  </si>
  <si>
    <t>VIÁTICOS TUMACO</t>
  </si>
  <si>
    <t>VIÁTICOS EL CERRITO</t>
  </si>
  <si>
    <t>VIÁTICOS QUIBDÓ</t>
  </si>
  <si>
    <t>CORDOBA</t>
  </si>
  <si>
    <t>NORTE DE SANTANDER</t>
  </si>
  <si>
    <t>VIÁTICOS MONTERÍA</t>
  </si>
  <si>
    <t>VIÁTICOS SAN JÓSE DE CÚCUTA</t>
  </si>
  <si>
    <t>VIÁTICOS GUADALAJARA BUGA</t>
  </si>
  <si>
    <t>CASANARE</t>
  </si>
  <si>
    <t>VIÁTICOS YOPAL</t>
  </si>
  <si>
    <t>VIÁTICOS MONTELÍBANO</t>
  </si>
  <si>
    <t>VIÁTICOS SAN JOSE DEL GUAVIARE</t>
  </si>
  <si>
    <t>Transporte terrestre  $51,900 c/t Bogota- Yopal</t>
  </si>
  <si>
    <t>VIÁTICOS SAN PELAYO</t>
  </si>
  <si>
    <t>VIÁTICOS VALENCIA</t>
  </si>
  <si>
    <t>A</t>
  </si>
  <si>
    <t>B</t>
  </si>
  <si>
    <t>C</t>
  </si>
  <si>
    <t>F</t>
  </si>
  <si>
    <t>L</t>
  </si>
  <si>
    <t>S</t>
  </si>
  <si>
    <t>T</t>
  </si>
  <si>
    <t>VIÁTICOS ABEJORRAL</t>
  </si>
  <si>
    <t>VIÁTICOS BETANIA</t>
  </si>
  <si>
    <t>VIÁTICOS CALDAS-ANTIOQUIA</t>
  </si>
  <si>
    <t>VIÁTICOS FREDONIA</t>
  </si>
  <si>
    <t>VIÁTICOS LA CEJA</t>
  </si>
  <si>
    <t>VIÁTICOS SALGAR</t>
  </si>
  <si>
    <t>VIÁTICOS TÁMESIS</t>
  </si>
  <si>
    <t>VIÁTICOS ABRIAQUI</t>
  </si>
  <si>
    <t>VIÁTICOS BETULIA</t>
  </si>
  <si>
    <t>VIÁTICOS CAUCASIA</t>
  </si>
  <si>
    <t>VIÁTICOS FRONTINO</t>
  </si>
  <si>
    <t>VIÁTICOS LA PINTADA</t>
  </si>
  <si>
    <t>VIÁTICOS SAN CARLOS</t>
  </si>
  <si>
    <t>VIÁTICOS TARAZÁ</t>
  </si>
  <si>
    <t>Alojamiento/efectivo</t>
  </si>
  <si>
    <t>G</t>
  </si>
  <si>
    <t>P</t>
  </si>
  <si>
    <t>VIÁTICOS AMAGÁ</t>
  </si>
  <si>
    <t>VIÁTICOS BOLIVAR</t>
  </si>
  <si>
    <t>VIÁTICOS COCORNA</t>
  </si>
  <si>
    <t>VIÁTICOS GRANADA</t>
  </si>
  <si>
    <t>VIÁTICOS PUEBLO RICO</t>
  </si>
  <si>
    <t>VIÁTICOS SAN JERONIMO</t>
  </si>
  <si>
    <t>VIÁTICOS TARSO</t>
  </si>
  <si>
    <t>VIÁTICOS AMALFI</t>
  </si>
  <si>
    <t>VIÁTICOS BRICEÑO</t>
  </si>
  <si>
    <t>VIÁTICOS CONCORDIA</t>
  </si>
  <si>
    <t>VIÁTICOS GUADALUPE</t>
  </si>
  <si>
    <t>VIÁTICOS PUERTO BERRIO</t>
  </si>
  <si>
    <t>VIÁTICOS SAN PEDRO</t>
  </si>
  <si>
    <t>VIÁTICOS TITIRIBI</t>
  </si>
  <si>
    <t>VIÁTICOS ANDES</t>
  </si>
  <si>
    <t>E</t>
  </si>
  <si>
    <t>H</t>
  </si>
  <si>
    <t>U</t>
  </si>
  <si>
    <t>VIÁTICOS BURITICA</t>
  </si>
  <si>
    <t>VIÁTICOS EBEJICO</t>
  </si>
  <si>
    <t>VIÁTICOS HELICONIA</t>
  </si>
  <si>
    <t>VIÁTICOS PUERTO TRIUNFO</t>
  </si>
  <si>
    <t>VIÁTICOS SAN LUIS</t>
  </si>
  <si>
    <t>VIÁTICOS URRAO</t>
  </si>
  <si>
    <t>VIÁTICOS ANGELÓPOLIS</t>
  </si>
  <si>
    <t>I</t>
  </si>
  <si>
    <t>R</t>
  </si>
  <si>
    <t>VIÁTICOS SANTA BARBARA</t>
  </si>
  <si>
    <t>V</t>
  </si>
  <si>
    <t>VIÁTICOS EL BAGRE</t>
  </si>
  <si>
    <t>VIÁTICOS ITUANGO</t>
  </si>
  <si>
    <t>VIÁTICOS RIONEGRO</t>
  </si>
  <si>
    <t>VIÁTICOS VEGACHI</t>
  </si>
  <si>
    <t>VIÁTICOS ARBOLETES</t>
  </si>
  <si>
    <t>J</t>
  </si>
  <si>
    <t>VIÁTICOS SANTA FE DE ANTIOQUIA</t>
  </si>
  <si>
    <t>VIÁTICOS VENECIA</t>
  </si>
  <si>
    <t>VIÁTICOS EL CARMEN DE VIBORAL</t>
  </si>
  <si>
    <t>VIÁTICOS JARDÍN</t>
  </si>
  <si>
    <t>VIÁTICOS APARTADÓ</t>
  </si>
  <si>
    <t>Y</t>
  </si>
  <si>
    <t>VIÁTICOS EL RETIRO</t>
  </si>
  <si>
    <t>VIÁTICOS JERICÓ</t>
  </si>
  <si>
    <t>VIÁTICOS SANTA ROSA DE OSOS</t>
  </si>
  <si>
    <t>VIÁTICOS YARUMAL</t>
  </si>
  <si>
    <t>VIÁTICOS EL SANTUARIO</t>
  </si>
  <si>
    <t>VIÁTICOS SONSÓN</t>
  </si>
  <si>
    <t>VIÁTICOS TURBO</t>
  </si>
  <si>
    <t>VIÁTICOS SOPETRÁN</t>
  </si>
  <si>
    <t>VIÁTICOS SEGOVIA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</si>
  <si>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</si>
  <si>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</si>
  <si>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</si>
  <si>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</si>
  <si>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</si>
  <si>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</si>
  <si>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</si>
  <si>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</si>
  <si>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</si>
  <si>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</si>
  <si>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</si>
  <si>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</t>
  </si>
  <si>
    <t>NRO. NOCHES
 2017</t>
  </si>
  <si>
    <t>MEDELLIN</t>
  </si>
  <si>
    <t>Leblon (estilo ejucutivo)</t>
  </si>
  <si>
    <t>Affinity</t>
  </si>
  <si>
    <t>Alcazar</t>
  </si>
  <si>
    <t>Novelty</t>
  </si>
  <si>
    <t>Diez Hotel</t>
  </si>
  <si>
    <t>Portal del Rodeo</t>
  </si>
  <si>
    <t>Porton Medellin</t>
  </si>
  <si>
    <t>Poblado Plaza</t>
  </si>
  <si>
    <t>Poblado Alejandria</t>
  </si>
  <si>
    <t>Hotel Medellin Royal NH</t>
  </si>
  <si>
    <t xml:space="preserve">Hotel Estelar Milla de Oro </t>
  </si>
  <si>
    <t>Acqua Express</t>
  </si>
  <si>
    <t>WayPoint</t>
  </si>
  <si>
    <t>Hotel Ibis Medellín</t>
  </si>
  <si>
    <t>RIONEGRO</t>
  </si>
  <si>
    <t>Las Lomas</t>
  </si>
  <si>
    <t>Club Campestre</t>
  </si>
  <si>
    <t>BOGOTÁ</t>
  </si>
  <si>
    <t>Bogota Royal NH</t>
  </si>
  <si>
    <t>Casa Dann Carlton</t>
  </si>
  <si>
    <t>Cosmos 100</t>
  </si>
  <si>
    <t>Best Wester Plus 93</t>
  </si>
  <si>
    <t>Urban Royal 93</t>
  </si>
  <si>
    <t xml:space="preserve">Urban Royal 26 </t>
  </si>
  <si>
    <t>Ibis Bogotá</t>
  </si>
  <si>
    <t>Movich chico 97</t>
  </si>
  <si>
    <t>PEREIRA</t>
  </si>
  <si>
    <t>Movich Pereira</t>
  </si>
  <si>
    <t>Pinares Plaza</t>
  </si>
  <si>
    <t>Almirante</t>
  </si>
  <si>
    <t>Benidorm</t>
  </si>
  <si>
    <t xml:space="preserve">ARMENIA </t>
  </si>
  <si>
    <t xml:space="preserve"> SANTA MARTA -AGENCIA</t>
  </si>
  <si>
    <t>VIÁTICOS SINCELEJO</t>
  </si>
  <si>
    <t>Transporte Aeropto La Morela $15,600 c/t</t>
  </si>
  <si>
    <t>VIÁTICOS CACERES</t>
  </si>
  <si>
    <t>Transporte Terrestre  $34,300 c/t</t>
  </si>
  <si>
    <t>VIÁTICOS GUATAPÉ</t>
  </si>
  <si>
    <t>TransporteTerrestre $35,000 c/t -Med</t>
  </si>
  <si>
    <t>Transporte terrestres Med-Bog</t>
  </si>
  <si>
    <t xml:space="preserve">Transporte Aeropto JMC $69,000 c/t </t>
  </si>
  <si>
    <t xml:space="preserve">Transporte  Aeropto EOH-MLLIN $10,600 c/t </t>
  </si>
  <si>
    <t xml:space="preserve">Transporte  Aeropto- Ernesto Cortizo $36,400c/t </t>
  </si>
  <si>
    <t xml:space="preserve">Transporte Aeropto Palonegro $      35,900 c/t </t>
  </si>
  <si>
    <t>Transporte Aeropto Yariguíes $    9,800 c/trayecto</t>
  </si>
  <si>
    <t>Transporte Aeropto Alfonso Bonilla $75,000 c/t</t>
  </si>
  <si>
    <t>Transporte Aeropto Rafael Nuñez $20.800 c/t</t>
  </si>
  <si>
    <t>Transporte Aeropto Intnal Camilo Daza $15,200 c/t</t>
  </si>
  <si>
    <t>Transporte Aeropto La Nubia $14,600c/t</t>
  </si>
  <si>
    <t>Transporte  Terrestre Med-Maniz 45,000 c/t</t>
  </si>
  <si>
    <t xml:space="preserve">Transporte  Aeropto EOH-MED $10,600 c/t </t>
  </si>
  <si>
    <t>Transporte Aeropto-El Eden 
 $27,300 c/t</t>
  </si>
  <si>
    <t xml:space="preserve">Transporte Terrestre $84,900 c/t </t>
  </si>
  <si>
    <t>Transporte Aeropto GLV $16,300 c/t</t>
  </si>
  <si>
    <t>Transporte Aeropto Antonio Nariño $40,200 c/t</t>
  </si>
  <si>
    <t>Transporte Aeropuerto Perales           $28,200 c/t</t>
  </si>
  <si>
    <t>Transporte Aeropto Benito Salas 
$13,300 c/t</t>
  </si>
  <si>
    <t>Transporte Terrestre Bog- Tunja   $31,100 c/t</t>
  </si>
  <si>
    <t>Transporte Aeropto $22,900c/t</t>
  </si>
  <si>
    <t>Transporte Santa Marta-Bqlla  $31,100</t>
  </si>
  <si>
    <t>Transporte Aeropto- Gustavo R.      $12,900 c/t</t>
  </si>
  <si>
    <t>Transporte Aeropto $12,900 c/t</t>
  </si>
  <si>
    <t xml:space="preserve">Transporte  Terrestre Manizales - Armenia $34,700 c/t </t>
  </si>
  <si>
    <t>Transporte terrestre $29,000 c/t Bogotá - Pto.Boyacá</t>
  </si>
  <si>
    <t>Transporte terrestre $62,300 c/t Med-Sogamoso</t>
  </si>
  <si>
    <t>Transporte terrestre $31,100 c/t Btá-Sogamoso</t>
  </si>
  <si>
    <t>Transporte terrestre $72,700  c/t Med-Duitama</t>
  </si>
  <si>
    <t>Transporte terrestre $36,300 c/t  Btá-Villa de Leyva</t>
  </si>
  <si>
    <t>Transporte Aeropt -El Alcaravan $67,000 c/t</t>
  </si>
  <si>
    <t>Transporte terrestre $45,600 c/t Med - Chinchina</t>
  </si>
  <si>
    <t>Transporte terrestre $ 46,700 c/t Med-La Dorada</t>
  </si>
  <si>
    <t>Transporte terrestre $41,500 c/t  Med-Risucio</t>
  </si>
  <si>
    <t xml:space="preserve">Transporte Aeropto-Gustavo Artund $35,500 c/t Neiva-Florencia - </t>
  </si>
  <si>
    <t>Transporte terrestre $150,500 c/t  Med-Florencia -</t>
  </si>
  <si>
    <t>Transporte Aeropt -Eduardo Falla $28,400 c/t</t>
  </si>
  <si>
    <t>Transporte terrestre $93,400 c/t</t>
  </si>
  <si>
    <t>Transporte Aeropt - Alfonso P  $17,900c/t</t>
  </si>
  <si>
    <t>Transporte terrestre $79,300 c/t Med- Monteria</t>
  </si>
  <si>
    <t>Transporte Aeropt  -Los Garzones $25,000 c/t</t>
  </si>
  <si>
    <t>Transporte terrestre $57,000 c/t Med- Montelibano</t>
  </si>
  <si>
    <t>Transporte terrestre $25,000 c/t Sincelejos-Montelibano</t>
  </si>
  <si>
    <t>Transporte terrestre $93,400 c/t Med- San Pelayo</t>
  </si>
  <si>
    <t>Transporte Aerop -Los Garzones $45,500 c/t</t>
  </si>
  <si>
    <t>Transporte terrestre $93,400 c/t Med- Valencia</t>
  </si>
  <si>
    <t>Transporte Aeropt Eduardo F $18,000c/t</t>
  </si>
  <si>
    <t>Transporte terrestre $ 119,300 c/t Med - Riohacha</t>
  </si>
  <si>
    <t xml:space="preserve">Transporte Aeropto Internal A. P. Riohacha, $66,400 c/t </t>
  </si>
  <si>
    <t>Tranporte terrestre $119,300 c/t Med-San Juan</t>
  </si>
  <si>
    <t>Transporte terrestre $134,900 c/t Med-Uribia</t>
  </si>
  <si>
    <t>Transporte terrestre $124,500 c/t Med-S Jóse de Cúcuta</t>
  </si>
  <si>
    <t xml:space="preserve">Transporte Aeropt Internal $67,000c/t </t>
  </si>
  <si>
    <t xml:space="preserve">Transporte terrestre $72,600 c/t </t>
  </si>
  <si>
    <t>Transporte Aeropt -Alfonso Bonilla $74,600 c/t</t>
  </si>
  <si>
    <t>Transporte  terrestre $36,000 c/t Per- El Cerrito</t>
  </si>
  <si>
    <t>Transporte  terrestre $83,000 c/t
Med- Buenav</t>
  </si>
  <si>
    <t>Transporte Terrestre $31,100 c/t
Cali-Buenav</t>
  </si>
  <si>
    <t xml:space="preserve">Transporte Aeropto Gerardo Tobar $10,000 c/t </t>
  </si>
  <si>
    <t>Transporte terrestre $100,700 c/t</t>
  </si>
  <si>
    <t>Transporte Aeropt - Sincelejo    $40,600 c/t</t>
  </si>
  <si>
    <t>Transporte Aeropt  -Corozal 
$24,600c/t</t>
  </si>
  <si>
    <t>Transporte terrestre $105,900c/t</t>
  </si>
  <si>
    <t xml:space="preserve">Transporte terrestre $93,400 c/t </t>
  </si>
  <si>
    <t>Transporte Aeropt -Las Brujas
$24,600 c/t</t>
  </si>
  <si>
    <t>Transporte terrestre  $130,800 c/t</t>
  </si>
  <si>
    <t>Transporte Aeropt  -Arauca 
$60,300 c/t</t>
  </si>
  <si>
    <t>Transporte terrestre $120,400 c/t</t>
  </si>
  <si>
    <t>Transporte Aeropt -Tres de May          $48,300c/t</t>
  </si>
  <si>
    <t>Transporte Aeropuerto- Alfredo Vasquez $22,500 c/t</t>
  </si>
  <si>
    <t>Transporte terrestre $119,300 c/t</t>
  </si>
  <si>
    <t>Transporte Aeropt  -Tres de May      $50,800 c/t</t>
  </si>
  <si>
    <t xml:space="preserve">Transporte terrestre $98,600
c/t Med-Villavicencio </t>
  </si>
  <si>
    <t>Transporte Aeropto Vanguardia $13,100c/t</t>
  </si>
  <si>
    <t>Transporte terrestre $134,900 c/t</t>
  </si>
  <si>
    <t>Transporte Aeropt  $19,500c/t</t>
  </si>
  <si>
    <t>Transporte Aeropt $9,800 c/t</t>
  </si>
  <si>
    <t>Transporte terrestre $83,000 c/t Cali-Tumaco</t>
  </si>
  <si>
    <t>Transporte Aeropto José Celestino Mutis $24,600 c/t</t>
  </si>
  <si>
    <t>Transporte terrestre $83,000 c/t</t>
  </si>
  <si>
    <t>Transporte Aeropto -El Caraño                    $24,600 c/t</t>
  </si>
  <si>
    <t>Transporte Terrestre $22,800 c/t</t>
  </si>
  <si>
    <t>Transporte Terrestre $18,700 c/t</t>
  </si>
  <si>
    <t>Transporte Terrestre $10,400 c/t</t>
  </si>
  <si>
    <t>Transporte Terrestre $24,900 c/t</t>
  </si>
  <si>
    <t>Transporte Terrestre $59,100 c/t</t>
  </si>
  <si>
    <t>Transporte Aeropt A.R-Mllín $14,000 c/t</t>
  </si>
  <si>
    <t>Transporte Terrestre $ 62,300 Mllin-Apart. c/t</t>
  </si>
  <si>
    <t>Transporte Terrestre $25,900 c/t</t>
  </si>
  <si>
    <t>Transporte Terrestre $ 22,800 c/t</t>
  </si>
  <si>
    <t>Transporte Terrestre $ 15,600 c/t</t>
  </si>
  <si>
    <t>Transporte Terrestre  $6,200 c/t</t>
  </si>
  <si>
    <t>Transporte Aeropto -William White $13,800 c/t</t>
  </si>
  <si>
    <t>Transporte terrestes  $57,000 c/t
Med-Cauca</t>
  </si>
  <si>
    <t>Transporte Terrestre $13,500c/t</t>
  </si>
  <si>
    <t>Transporte Terrestre $13,500 c/t</t>
  </si>
  <si>
    <t>Transporte Terrestre  $13,000 c/t</t>
  </si>
  <si>
    <t>Transporte Aeropto El Tomn $11,000 c/t</t>
  </si>
  <si>
    <t>Transporte Terrestre $64,400 c/t -Med</t>
  </si>
  <si>
    <t>Transporte Terrestre $9,100c/t</t>
  </si>
  <si>
    <t>Transporte Terrestre  $7,300 c/t</t>
  </si>
  <si>
    <t>Transporte Terrestre  $7,800 c/t</t>
  </si>
  <si>
    <t>Transporte Terrestre  $15,000 c/t</t>
  </si>
  <si>
    <t>TransporteTerrestre $ 19,000 c/t</t>
  </si>
  <si>
    <t>TransporteTerrestre $10,400 c/t</t>
  </si>
  <si>
    <t>TransporteTerrestre $19,000 c/t</t>
  </si>
  <si>
    <t>Transporte Terrestre $28,000 c/t</t>
  </si>
  <si>
    <t>Transporte Terrestre $41,500 c/t</t>
  </si>
  <si>
    <t>Transporte Terrestre $ 9,200 c/t</t>
  </si>
  <si>
    <t>TransporteTerrestre $12,400 c/t</t>
  </si>
  <si>
    <t>TransporteTerrestre $15,600 c/t</t>
  </si>
  <si>
    <t>TransporteTerrestre  $30,600 c/t</t>
  </si>
  <si>
    <t>Transporte Terrestre $7,300 c/t</t>
  </si>
  <si>
    <t>TransporteTerrestre $18,700 c/t</t>
  </si>
  <si>
    <t>TransporteTerrestre $ 22,800 c/t</t>
  </si>
  <si>
    <t>Transporte Terrestre $10,900 c/t</t>
  </si>
  <si>
    <t>TransporteTerrestre $17,100 c/t</t>
  </si>
  <si>
    <t>TransporteTerrestre $11,400 c/t</t>
  </si>
  <si>
    <t>Transporte Terrestre $20,700 c/t</t>
  </si>
  <si>
    <t>Transporte Terrestre $39,400 c/t</t>
  </si>
  <si>
    <t>Transporte Terrestre $24,400 c/t</t>
  </si>
  <si>
    <t>Transporte Terrestre $31,100 c/t</t>
  </si>
  <si>
    <t>Transporte Terrestre $30,100 c/t</t>
  </si>
  <si>
    <t>Transporte Terrestre $21,800 c/t</t>
  </si>
  <si>
    <t>Transporte Aeropto AR-Mllín $27,800 c/t</t>
  </si>
  <si>
    <t>Transporte Terrestre $67,500 c/t</t>
  </si>
  <si>
    <t>|</t>
  </si>
  <si>
    <t>Transporte terrestre $ 46,700 c/t
Bgtá - Jóse de Guav</t>
  </si>
  <si>
    <t>Transporte Aeropt -El Pindo $ 67,000 c/t</t>
  </si>
  <si>
    <t>Transporte Aeropto Yariguíes $    35,900 c/trayecto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</si>
</sst>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  <numFmt numFmtId="166" formatCode="&quot;$&quot;\ #,##0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7"/>
      <color rgb="FFFFFFFF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9FE"/>
        <bgColor indexed="64"/>
      </patternFill>
    </fill>
    <fill>
      <patternFill patternType="solid">
        <fgColor rgb="FFE7E4D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7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5" xfId="0" applyFont="1" applyFill="1" applyBorder="1"/>
    <xf numFmtId="0" fontId="7" fillId="2" borderId="5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center" vertical="center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9" fillId="2" borderId="29" xfId="0" applyFont="1" applyFill="1" applyBorder="1"/>
    <xf numFmtId="0" fontId="7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9" xfId="0" applyFont="1" applyBorder="1"/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6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65" fontId="0" fillId="0" borderId="17" xfId="1" applyNumberFormat="1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165" fontId="13" fillId="0" borderId="4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65" fontId="1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0" fontId="14" fillId="0" borderId="5" xfId="2" applyFont="1" applyBorder="1" applyAlignment="1">
      <alignment horizontal="justify" vertical="center"/>
    </xf>
    <xf numFmtId="0" fontId="16" fillId="0" borderId="5" xfId="0" applyFont="1" applyBorder="1"/>
    <xf numFmtId="0" fontId="14" fillId="0" borderId="5" xfId="2" applyFont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14" fillId="0" borderId="5" xfId="2" applyFont="1" applyBorder="1"/>
    <xf numFmtId="0" fontId="9" fillId="4" borderId="3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9" fillId="5" borderId="27" xfId="0" applyFont="1" applyFill="1" applyBorder="1"/>
    <xf numFmtId="0" fontId="9" fillId="5" borderId="28" xfId="0" applyFont="1" applyFill="1" applyBorder="1"/>
    <xf numFmtId="0" fontId="7" fillId="0" borderId="0" xfId="4" applyFont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19" fillId="3" borderId="32" xfId="4" applyFont="1" applyFill="1" applyBorder="1" applyAlignment="1">
      <alignment horizontal="center" vertical="center"/>
    </xf>
    <xf numFmtId="0" fontId="19" fillId="3" borderId="43" xfId="4" applyFont="1" applyFill="1" applyBorder="1" applyAlignment="1">
      <alignment horizontal="center" vertical="center"/>
    </xf>
    <xf numFmtId="0" fontId="19" fillId="3" borderId="32" xfId="4" applyFont="1" applyFill="1" applyBorder="1" applyAlignment="1">
      <alignment horizontal="center" vertical="center" wrapText="1"/>
    </xf>
    <xf numFmtId="0" fontId="5" fillId="0" borderId="0" xfId="4"/>
    <xf numFmtId="0" fontId="9" fillId="2" borderId="34" xfId="4" applyFont="1" applyFill="1" applyBorder="1"/>
    <xf numFmtId="0" fontId="9" fillId="0" borderId="19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9" fillId="2" borderId="35" xfId="4" applyFont="1" applyFill="1" applyBorder="1"/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2" borderId="35" xfId="4" applyFont="1" applyFill="1" applyBorder="1" applyAlignment="1">
      <alignment horizontal="left"/>
    </xf>
    <xf numFmtId="0" fontId="20" fillId="0" borderId="5" xfId="4" applyFont="1" applyBorder="1" applyAlignment="1">
      <alignment horizontal="center"/>
    </xf>
    <xf numFmtId="0" fontId="9" fillId="2" borderId="38" xfId="4" applyFont="1" applyFill="1" applyBorder="1" applyAlignment="1">
      <alignment horizontal="left"/>
    </xf>
    <xf numFmtId="0" fontId="9" fillId="2" borderId="36" xfId="4" applyFont="1" applyFill="1" applyBorder="1" applyAlignment="1">
      <alignment horizontal="left"/>
    </xf>
    <xf numFmtId="0" fontId="9" fillId="0" borderId="3" xfId="4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10" fillId="0" borderId="12" xfId="4" applyFont="1" applyBorder="1" applyAlignment="1">
      <alignment vertical="center"/>
    </xf>
    <xf numFmtId="0" fontId="9" fillId="2" borderId="7" xfId="4" applyFont="1" applyFill="1" applyBorder="1"/>
    <xf numFmtId="0" fontId="9" fillId="2" borderId="52" xfId="4" applyFont="1" applyFill="1" applyBorder="1"/>
    <xf numFmtId="0" fontId="9" fillId="0" borderId="24" xfId="4" applyFont="1" applyBorder="1" applyAlignment="1">
      <alignment horizontal="center"/>
    </xf>
    <xf numFmtId="0" fontId="9" fillId="0" borderId="16" xfId="4" applyFont="1" applyBorder="1" applyAlignment="1">
      <alignment horizontal="center"/>
    </xf>
    <xf numFmtId="0" fontId="9" fillId="0" borderId="17" xfId="4" applyFont="1" applyBorder="1" applyAlignment="1">
      <alignment horizontal="center"/>
    </xf>
    <xf numFmtId="0" fontId="10" fillId="0" borderId="28" xfId="4" applyFont="1" applyBorder="1" applyAlignment="1">
      <alignment vertical="center"/>
    </xf>
    <xf numFmtId="0" fontId="10" fillId="0" borderId="29" xfId="4" applyFont="1" applyBorder="1" applyAlignment="1">
      <alignment vertical="center"/>
    </xf>
    <xf numFmtId="0" fontId="9" fillId="2" borderId="37" xfId="4" applyFont="1" applyFill="1" applyBorder="1"/>
    <xf numFmtId="0" fontId="9" fillId="0" borderId="23" xfId="4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9" fillId="0" borderId="20" xfId="4" applyFont="1" applyBorder="1" applyAlignment="1">
      <alignment horizontal="center"/>
    </xf>
    <xf numFmtId="0" fontId="9" fillId="0" borderId="29" xfId="4" applyFont="1" applyBorder="1" applyAlignment="1">
      <alignment horizontal="center"/>
    </xf>
    <xf numFmtId="0" fontId="9" fillId="2" borderId="36" xfId="4" applyFont="1" applyFill="1" applyBorder="1"/>
    <xf numFmtId="0" fontId="9" fillId="0" borderId="31" xfId="4" applyFont="1" applyBorder="1" applyAlignment="1">
      <alignment horizontal="center"/>
    </xf>
    <xf numFmtId="0" fontId="10" fillId="0" borderId="51" xfId="4" applyFont="1" applyBorder="1" applyAlignment="1">
      <alignment vertical="center"/>
    </xf>
    <xf numFmtId="0" fontId="9" fillId="0" borderId="12" xfId="4" applyFont="1" applyBorder="1"/>
    <xf numFmtId="0" fontId="9" fillId="0" borderId="51" xfId="4" applyFont="1" applyBorder="1"/>
    <xf numFmtId="0" fontId="9" fillId="0" borderId="34" xfId="4" applyFont="1" applyBorder="1"/>
    <xf numFmtId="0" fontId="9" fillId="0" borderId="36" xfId="4" applyFont="1" applyBorder="1"/>
    <xf numFmtId="0" fontId="9" fillId="0" borderId="34" xfId="4" applyFont="1" applyBorder="1" applyAlignment="1">
      <alignment vertical="center" wrapText="1"/>
    </xf>
    <xf numFmtId="0" fontId="9" fillId="0" borderId="35" xfId="4" applyFont="1" applyBorder="1" applyAlignment="1">
      <alignment vertical="center" wrapText="1"/>
    </xf>
    <xf numFmtId="0" fontId="9" fillId="0" borderId="36" xfId="4" applyFont="1" applyBorder="1" applyAlignment="1">
      <alignment vertical="center" wrapText="1"/>
    </xf>
    <xf numFmtId="0" fontId="7" fillId="0" borderId="34" xfId="4" applyFont="1" applyBorder="1" applyAlignment="1">
      <alignment vertical="center"/>
    </xf>
    <xf numFmtId="0" fontId="7" fillId="0" borderId="35" xfId="4" applyFont="1" applyBorder="1" applyAlignment="1">
      <alignment vertical="center" wrapText="1"/>
    </xf>
    <xf numFmtId="0" fontId="10" fillId="0" borderId="0" xfId="4" applyFont="1" applyAlignment="1">
      <alignment vertical="center"/>
    </xf>
    <xf numFmtId="0" fontId="7" fillId="0" borderId="36" xfId="4" applyFont="1" applyBorder="1" applyAlignment="1">
      <alignment vertical="center"/>
    </xf>
    <xf numFmtId="0" fontId="10" fillId="3" borderId="40" xfId="4" applyFont="1" applyFill="1" applyBorder="1" applyAlignment="1">
      <alignment horizontal="center" vertical="center"/>
    </xf>
    <xf numFmtId="0" fontId="9" fillId="0" borderId="46" xfId="4" applyFont="1" applyBorder="1" applyAlignment="1">
      <alignment vertical="center"/>
    </xf>
    <xf numFmtId="0" fontId="9" fillId="0" borderId="40" xfId="4" applyFont="1" applyBorder="1" applyAlignment="1">
      <alignment horizontal="center"/>
    </xf>
    <xf numFmtId="0" fontId="9" fillId="0" borderId="47" xfId="4" applyFont="1" applyBorder="1" applyAlignment="1">
      <alignment horizontal="center"/>
    </xf>
    <xf numFmtId="0" fontId="9" fillId="0" borderId="41" xfId="4" applyFont="1" applyBorder="1" applyAlignment="1">
      <alignment horizontal="center"/>
    </xf>
    <xf numFmtId="0" fontId="9" fillId="0" borderId="38" xfId="4" applyFont="1" applyBorder="1"/>
    <xf numFmtId="0" fontId="5" fillId="0" borderId="12" xfId="4" applyBorder="1"/>
    <xf numFmtId="0" fontId="5" fillId="0" borderId="51" xfId="4" applyBorder="1"/>
    <xf numFmtId="0" fontId="9" fillId="0" borderId="37" xfId="4" applyFont="1" applyBorder="1" applyAlignment="1">
      <alignment vertical="center"/>
    </xf>
    <xf numFmtId="0" fontId="9" fillId="0" borderId="35" xfId="4" applyFont="1" applyBorder="1" applyAlignment="1">
      <alignment vertical="center"/>
    </xf>
    <xf numFmtId="0" fontId="9" fillId="0" borderId="36" xfId="4" applyFont="1" applyBorder="1" applyAlignment="1">
      <alignment vertical="center"/>
    </xf>
    <xf numFmtId="0" fontId="10" fillId="3" borderId="32" xfId="4" applyFont="1" applyFill="1" applyBorder="1" applyAlignment="1">
      <alignment horizontal="center" vertical="center"/>
    </xf>
    <xf numFmtId="0" fontId="9" fillId="0" borderId="54" xfId="4" applyFont="1" applyBorder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3" borderId="44" xfId="4" applyFont="1" applyFill="1" applyBorder="1" applyAlignment="1">
      <alignment horizontal="center" vertical="center"/>
    </xf>
    <xf numFmtId="0" fontId="9" fillId="0" borderId="39" xfId="4" applyFont="1" applyBorder="1" applyAlignment="1">
      <alignment vertical="center"/>
    </xf>
    <xf numFmtId="0" fontId="9" fillId="0" borderId="55" xfId="4" applyFont="1" applyBorder="1" applyAlignment="1">
      <alignment horizontal="center"/>
    </xf>
    <xf numFmtId="0" fontId="9" fillId="0" borderId="25" xfId="4" applyFont="1" applyBorder="1" applyAlignment="1">
      <alignment horizontal="center"/>
    </xf>
    <xf numFmtId="0" fontId="9" fillId="0" borderId="26" xfId="4" applyFont="1" applyBorder="1" applyAlignment="1">
      <alignment horizontal="center"/>
    </xf>
    <xf numFmtId="0" fontId="10" fillId="0" borderId="5" xfId="4" applyFont="1" applyBorder="1" applyAlignment="1">
      <alignment vertical="center"/>
    </xf>
    <xf numFmtId="0" fontId="9" fillId="0" borderId="56" xfId="4" applyFont="1" applyBorder="1" applyAlignment="1">
      <alignment horizontal="center"/>
    </xf>
    <xf numFmtId="0" fontId="7" fillId="0" borderId="35" xfId="4" applyFont="1" applyBorder="1" applyAlignment="1">
      <alignment vertical="center"/>
    </xf>
    <xf numFmtId="0" fontId="7" fillId="0" borderId="5" xfId="4" applyFont="1" applyBorder="1" applyAlignment="1">
      <alignment vertical="center"/>
    </xf>
    <xf numFmtId="0" fontId="8" fillId="3" borderId="15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vertical="center"/>
    </xf>
    <xf numFmtId="0" fontId="9" fillId="0" borderId="57" xfId="4" applyFont="1" applyBorder="1" applyAlignment="1">
      <alignment horizontal="center"/>
    </xf>
    <xf numFmtId="0" fontId="9" fillId="0" borderId="58" xfId="4" applyFont="1" applyBorder="1" applyAlignment="1">
      <alignment horizontal="center"/>
    </xf>
    <xf numFmtId="0" fontId="9" fillId="0" borderId="59" xfId="4" applyFont="1" applyBorder="1" applyAlignment="1">
      <alignment horizontal="center"/>
    </xf>
    <xf numFmtId="0" fontId="9" fillId="5" borderId="59" xfId="4" applyFont="1" applyFill="1" applyBorder="1" applyAlignment="1">
      <alignment horizontal="center"/>
    </xf>
    <xf numFmtId="0" fontId="9" fillId="0" borderId="60" xfId="4" applyFont="1" applyBorder="1" applyAlignment="1">
      <alignment horizontal="center"/>
    </xf>
    <xf numFmtId="0" fontId="10" fillId="0" borderId="44" xfId="4" applyFont="1" applyBorder="1" applyAlignment="1">
      <alignment vertical="center"/>
    </xf>
    <xf numFmtId="0" fontId="10" fillId="0" borderId="4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/>
    <xf numFmtId="0" fontId="5" fillId="0" borderId="0" xfId="4" applyAlignment="1">
      <alignment horizontal="center"/>
    </xf>
    <xf numFmtId="0" fontId="22" fillId="0" borderId="0" xfId="5" applyFont="1"/>
    <xf numFmtId="0" fontId="21" fillId="0" borderId="0" xfId="5" applyFont="1"/>
    <xf numFmtId="165" fontId="11" fillId="0" borderId="5" xfId="1" applyNumberFormat="1" applyFont="1" applyFill="1" applyBorder="1" applyAlignment="1">
      <alignment vertical="center"/>
    </xf>
    <xf numFmtId="0" fontId="14" fillId="0" borderId="0" xfId="5" applyFont="1" applyAlignment="1">
      <alignment vertical="center" wrapText="1"/>
    </xf>
    <xf numFmtId="0" fontId="14" fillId="0" borderId="0" xfId="5" applyFont="1"/>
    <xf numFmtId="0" fontId="19" fillId="0" borderId="0" xfId="5" applyFont="1"/>
    <xf numFmtId="166" fontId="14" fillId="0" borderId="5" xfId="5" applyNumberFormat="1" applyFont="1" applyBorder="1"/>
    <xf numFmtId="166" fontId="14" fillId="0" borderId="5" xfId="5" applyNumberFormat="1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center" vertical="center"/>
    </xf>
    <xf numFmtId="166" fontId="14" fillId="0" borderId="0" xfId="5" applyNumberFormat="1" applyFont="1"/>
    <xf numFmtId="0" fontId="14" fillId="0" borderId="5" xfId="5" applyFont="1" applyBorder="1" applyAlignment="1">
      <alignment horizontal="left" vertical="center" wrapText="1" shrinkToFit="1"/>
    </xf>
    <xf numFmtId="0" fontId="14" fillId="0" borderId="5" xfId="5" applyFont="1" applyBorder="1" applyAlignment="1">
      <alignment horizontal="left" vertical="center" wrapText="1"/>
    </xf>
    <xf numFmtId="0" fontId="14" fillId="0" borderId="0" xfId="5" applyFont="1" applyAlignment="1">
      <alignment horizontal="center" wrapText="1"/>
    </xf>
    <xf numFmtId="0" fontId="14" fillId="2" borderId="0" xfId="5" applyFont="1" applyFill="1"/>
    <xf numFmtId="166" fontId="14" fillId="2" borderId="0" xfId="5" applyNumberFormat="1" applyFont="1" applyFill="1"/>
    <xf numFmtId="166" fontId="14" fillId="0" borderId="0" xfId="5" applyNumberFormat="1" applyFont="1" applyAlignment="1">
      <alignment vertical="center"/>
    </xf>
    <xf numFmtId="0" fontId="14" fillId="0" borderId="0" xfId="5" applyFont="1" applyAlignment="1">
      <alignment wrapText="1"/>
    </xf>
    <xf numFmtId="0" fontId="11" fillId="0" borderId="0" xfId="2" applyFont="1"/>
    <xf numFmtId="0" fontId="0" fillId="0" borderId="0" xfId="0" applyAlignment="1">
      <alignment horizontal="center"/>
    </xf>
    <xf numFmtId="166" fontId="2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29" fillId="0" borderId="29" xfId="0" applyNumberFormat="1" applyFont="1" applyBorder="1" applyAlignment="1">
      <alignment horizontal="center" vertical="center"/>
    </xf>
    <xf numFmtId="166" fontId="29" fillId="0" borderId="5" xfId="0" applyNumberFormat="1" applyFont="1" applyBorder="1" applyAlignment="1">
      <alignment horizontal="center" vertical="center"/>
    </xf>
    <xf numFmtId="166" fontId="30" fillId="9" borderId="5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3" fillId="9" borderId="5" xfId="0" applyNumberFormat="1" applyFont="1" applyFill="1" applyBorder="1" applyAlignment="1">
      <alignment vertical="center"/>
    </xf>
    <xf numFmtId="166" fontId="13" fillId="9" borderId="5" xfId="0" applyNumberFormat="1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166" fontId="30" fillId="10" borderId="29" xfId="0" applyNumberFormat="1" applyFont="1" applyFill="1" applyBorder="1" applyAlignment="1">
      <alignment horizontal="center" vertical="center"/>
    </xf>
    <xf numFmtId="166" fontId="30" fillId="10" borderId="5" xfId="0" applyNumberFormat="1" applyFont="1" applyFill="1" applyBorder="1" applyAlignment="1">
      <alignment horizontal="center" vertical="center"/>
    </xf>
    <xf numFmtId="166" fontId="13" fillId="10" borderId="5" xfId="0" applyNumberFormat="1" applyFont="1" applyFill="1" applyBorder="1" applyAlignment="1">
      <alignment horizontal="center" vertical="center"/>
    </xf>
    <xf numFmtId="166" fontId="13" fillId="10" borderId="5" xfId="0" applyNumberFormat="1" applyFont="1" applyFill="1" applyBorder="1" applyAlignment="1">
      <alignment vertical="center"/>
    </xf>
    <xf numFmtId="0" fontId="25" fillId="11" borderId="5" xfId="0" applyFont="1" applyFill="1" applyBorder="1" applyAlignment="1">
      <alignment horizontal="left" vertical="center"/>
    </xf>
    <xf numFmtId="0" fontId="25" fillId="11" borderId="5" xfId="0" applyFont="1" applyFill="1" applyBorder="1" applyAlignment="1">
      <alignment horizontal="left" vertical="center" wrapText="1"/>
    </xf>
    <xf numFmtId="166" fontId="13" fillId="11" borderId="5" xfId="0" applyNumberFormat="1" applyFont="1" applyFill="1" applyBorder="1" applyAlignment="1">
      <alignment horizontal="center"/>
    </xf>
    <xf numFmtId="166" fontId="13" fillId="11" borderId="5" xfId="0" applyNumberFormat="1" applyFont="1" applyFill="1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21" fillId="0" borderId="0" xfId="5" applyFont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6" fontId="14" fillId="0" borderId="0" xfId="5" applyNumberFormat="1" applyFont="1" applyAlignment="1">
      <alignment horizontal="right" vertical="center"/>
    </xf>
    <xf numFmtId="0" fontId="3" fillId="0" borderId="0" xfId="5" applyFont="1"/>
    <xf numFmtId="0" fontId="3" fillId="0" borderId="5" xfId="5" applyFont="1" applyBorder="1"/>
    <xf numFmtId="0" fontId="3" fillId="0" borderId="0" xfId="5" applyFont="1" applyAlignment="1">
      <alignment vertical="center"/>
    </xf>
    <xf numFmtId="0" fontId="3" fillId="0" borderId="5" xfId="5" applyFont="1" applyBorder="1" applyAlignment="1">
      <alignment wrapText="1"/>
    </xf>
    <xf numFmtId="166" fontId="3" fillId="0" borderId="5" xfId="5" applyNumberFormat="1" applyFont="1" applyBorder="1" applyAlignment="1">
      <alignment vertical="center"/>
    </xf>
    <xf numFmtId="0" fontId="3" fillId="0" borderId="0" xfId="5" applyFont="1" applyAlignment="1">
      <alignment horizontal="left" vertical="center" wrapText="1"/>
    </xf>
    <xf numFmtId="166" fontId="3" fillId="0" borderId="0" xfId="5" applyNumberFormat="1" applyFont="1" applyAlignment="1">
      <alignment vertical="center"/>
    </xf>
    <xf numFmtId="166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vertical="center" wrapText="1"/>
    </xf>
    <xf numFmtId="0" fontId="3" fillId="0" borderId="0" xfId="5" applyFont="1" applyAlignment="1">
      <alignment horizontal="left" vertical="center"/>
    </xf>
    <xf numFmtId="166" fontId="3" fillId="0" borderId="0" xfId="5" applyNumberFormat="1" applyFont="1"/>
    <xf numFmtId="0" fontId="3" fillId="0" borderId="0" xfId="5" applyFont="1" applyAlignment="1">
      <alignment horizontal="center" vertical="center"/>
    </xf>
    <xf numFmtId="166" fontId="3" fillId="0" borderId="18" xfId="5" applyNumberFormat="1" applyFont="1" applyBorder="1"/>
    <xf numFmtId="0" fontId="3" fillId="0" borderId="0" xfId="5" applyFont="1" applyAlignment="1">
      <alignment wrapText="1"/>
    </xf>
    <xf numFmtId="0" fontId="3" fillId="0" borderId="0" xfId="5" applyFont="1" applyAlignment="1">
      <alignment horizontal="center" vertical="center" wrapText="1"/>
    </xf>
    <xf numFmtId="166" fontId="3" fillId="0" borderId="0" xfId="5" applyNumberFormat="1" applyFont="1" applyAlignment="1">
      <alignment horizontal="center" vertical="center"/>
    </xf>
    <xf numFmtId="165" fontId="33" fillId="0" borderId="0" xfId="6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0" applyFont="1" applyBorder="1" applyAlignment="1">
      <alignment vertical="center" wrapText="1"/>
    </xf>
    <xf numFmtId="165" fontId="33" fillId="0" borderId="5" xfId="1" applyNumberFormat="1" applyFont="1" applyFill="1" applyBorder="1" applyAlignment="1">
      <alignment vertical="center"/>
    </xf>
    <xf numFmtId="165" fontId="33" fillId="0" borderId="0" xfId="1" applyNumberFormat="1" applyFont="1" applyFill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165" fontId="31" fillId="0" borderId="0" xfId="0" applyNumberFormat="1" applyFont="1" applyAlignment="1">
      <alignment vertical="center"/>
    </xf>
    <xf numFmtId="0" fontId="31" fillId="0" borderId="39" xfId="0" applyFont="1" applyBorder="1" applyAlignment="1">
      <alignment horizontal="center" vertical="center"/>
    </xf>
    <xf numFmtId="165" fontId="31" fillId="0" borderId="39" xfId="0" applyNumberFormat="1" applyFont="1" applyBorder="1" applyAlignment="1">
      <alignment vertical="center"/>
    </xf>
    <xf numFmtId="0" fontId="21" fillId="0" borderId="13" xfId="5" applyFont="1" applyBorder="1" applyAlignment="1">
      <alignment horizontal="center"/>
    </xf>
    <xf numFmtId="0" fontId="21" fillId="0" borderId="10" xfId="5" applyFont="1" applyBorder="1" applyAlignment="1">
      <alignment horizontal="center"/>
    </xf>
    <xf numFmtId="0" fontId="33" fillId="0" borderId="16" xfId="0" applyFont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165" fontId="0" fillId="0" borderId="5" xfId="1" applyNumberFormat="1" applyFont="1" applyFill="1" applyBorder="1" applyAlignment="1">
      <alignment vertical="center"/>
    </xf>
    <xf numFmtId="0" fontId="33" fillId="0" borderId="5" xfId="0" applyFont="1" applyBorder="1" applyAlignment="1">
      <alignment horizontal="left" vertical="top" wrapText="1"/>
    </xf>
    <xf numFmtId="165" fontId="33" fillId="0" borderId="16" xfId="1" applyNumberFormat="1" applyFont="1" applyFill="1" applyBorder="1" applyAlignment="1">
      <alignment vertical="center"/>
    </xf>
    <xf numFmtId="165" fontId="31" fillId="0" borderId="10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65" fontId="0" fillId="0" borderId="5" xfId="1" applyNumberFormat="1" applyFont="1" applyFill="1" applyBorder="1" applyAlignment="1">
      <alignment horizontal="right" vertical="center"/>
    </xf>
    <xf numFmtId="0" fontId="14" fillId="0" borderId="5" xfId="5" applyFont="1" applyBorder="1"/>
    <xf numFmtId="0" fontId="14" fillId="0" borderId="5" xfId="5" applyFont="1" applyBorder="1" applyAlignment="1">
      <alignment wrapText="1"/>
    </xf>
    <xf numFmtId="0" fontId="14" fillId="0" borderId="5" xfId="5" applyFont="1" applyBorder="1" applyAlignment="1">
      <alignment vertical="center"/>
    </xf>
    <xf numFmtId="0" fontId="14" fillId="0" borderId="5" xfId="5" applyFont="1" applyBorder="1" applyAlignment="1">
      <alignment vertical="center" wrapText="1"/>
    </xf>
    <xf numFmtId="0" fontId="19" fillId="0" borderId="0" xfId="5" applyFont="1" applyAlignment="1">
      <alignment horizontal="center" vertical="center" wrapText="1"/>
    </xf>
    <xf numFmtId="166" fontId="14" fillId="0" borderId="58" xfId="5" applyNumberFormat="1" applyFont="1" applyBorder="1" applyAlignment="1">
      <alignment vertical="center"/>
    </xf>
    <xf numFmtId="0" fontId="14" fillId="0" borderId="5" xfId="5" applyFont="1" applyBorder="1" applyAlignment="1">
      <alignment horizontal="left" wrapText="1"/>
    </xf>
    <xf numFmtId="166" fontId="14" fillId="0" borderId="5" xfId="5" applyNumberFormat="1" applyFont="1" applyBorder="1" applyAlignment="1">
      <alignment horizontal="right" vertical="center"/>
    </xf>
    <xf numFmtId="166" fontId="14" fillId="0" borderId="5" xfId="5" applyNumberFormat="1" applyFont="1" applyBorder="1" applyAlignment="1">
      <alignment horizontal="center" vertical="center"/>
    </xf>
    <xf numFmtId="0" fontId="14" fillId="0" borderId="5" xfId="5" applyFont="1" applyBorder="1" applyAlignment="1">
      <alignment horizontal="left" vertical="center"/>
    </xf>
    <xf numFmtId="166" fontId="14" fillId="0" borderId="5" xfId="5" applyNumberFormat="1" applyFont="1" applyBorder="1" applyAlignment="1">
      <alignment horizontal="right"/>
    </xf>
    <xf numFmtId="166" fontId="14" fillId="0" borderId="5" xfId="5" applyNumberFormat="1" applyFont="1" applyBorder="1" applyAlignment="1">
      <alignment horizontal="left" vertical="center"/>
    </xf>
    <xf numFmtId="0" fontId="3" fillId="0" borderId="18" xfId="5" applyFont="1" applyBorder="1"/>
    <xf numFmtId="166" fontId="3" fillId="0" borderId="5" xfId="5" applyNumberFormat="1" applyFont="1" applyBorder="1"/>
    <xf numFmtId="0" fontId="3" fillId="0" borderId="5" xfId="5" applyFont="1" applyBorder="1" applyAlignment="1">
      <alignment vertical="center"/>
    </xf>
    <xf numFmtId="0" fontId="2" fillId="0" borderId="5" xfId="5" applyFont="1" applyBorder="1" applyAlignment="1">
      <alignment horizontal="left" vertical="center" wrapText="1"/>
    </xf>
    <xf numFmtId="0" fontId="2" fillId="0" borderId="5" xfId="5" applyFont="1" applyBorder="1" applyAlignment="1">
      <alignment vertical="center" wrapText="1"/>
    </xf>
    <xf numFmtId="0" fontId="3" fillId="0" borderId="5" xfId="5" applyFont="1" applyBorder="1" applyAlignment="1">
      <alignment horizontal="left" vertical="center"/>
    </xf>
    <xf numFmtId="166" fontId="3" fillId="0" borderId="5" xfId="5" applyNumberFormat="1" applyFont="1" applyBorder="1" applyAlignment="1">
      <alignment horizontal="right" vertical="center"/>
    </xf>
    <xf numFmtId="166" fontId="3" fillId="0" borderId="18" xfId="5" applyNumberFormat="1" applyFont="1" applyBorder="1" applyAlignment="1">
      <alignment vertical="center"/>
    </xf>
    <xf numFmtId="0" fontId="3" fillId="0" borderId="5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wrapText="1"/>
    </xf>
    <xf numFmtId="0" fontId="3" fillId="0" borderId="5" xfId="5" applyFont="1" applyBorder="1" applyAlignment="1">
      <alignment vertical="center" wrapText="1"/>
    </xf>
    <xf numFmtId="166" fontId="3" fillId="0" borderId="5" xfId="5" applyNumberFormat="1" applyFont="1" applyBorder="1" applyAlignment="1">
      <alignment horizontal="right"/>
    </xf>
    <xf numFmtId="166" fontId="3" fillId="0" borderId="18" xfId="5" applyNumberFormat="1" applyFont="1" applyBorder="1" applyAlignment="1">
      <alignment horizontal="right" vertical="center"/>
    </xf>
    <xf numFmtId="0" fontId="1" fillId="0" borderId="5" xfId="5" applyFont="1" applyBorder="1" applyAlignment="1">
      <alignment vertical="center" wrapText="1"/>
    </xf>
    <xf numFmtId="0" fontId="1" fillId="0" borderId="5" xfId="5" applyFont="1" applyBorder="1" applyAlignment="1">
      <alignment horizontal="left" wrapText="1"/>
    </xf>
    <xf numFmtId="0" fontId="1" fillId="0" borderId="5" xfId="5" applyFont="1" applyBorder="1" applyAlignment="1">
      <alignment horizontal="left" vertical="center" wrapText="1"/>
    </xf>
    <xf numFmtId="0" fontId="1" fillId="0" borderId="0" xfId="5" applyFont="1"/>
    <xf numFmtId="166" fontId="1" fillId="0" borderId="5" xfId="5" applyNumberFormat="1" applyFont="1" applyBorder="1" applyAlignment="1">
      <alignment vertical="center"/>
    </xf>
    <xf numFmtId="0" fontId="3" fillId="0" borderId="18" xfId="5" applyFont="1" applyBorder="1" applyAlignment="1">
      <alignment vertical="center" wrapText="1"/>
    </xf>
    <xf numFmtId="0" fontId="3" fillId="0" borderId="18" xfId="5" applyFont="1" applyBorder="1" applyAlignment="1">
      <alignment vertical="center"/>
    </xf>
    <xf numFmtId="165" fontId="33" fillId="0" borderId="18" xfId="1" applyNumberFormat="1" applyFont="1" applyFill="1" applyBorder="1" applyAlignment="1">
      <alignment vertical="center"/>
    </xf>
    <xf numFmtId="0" fontId="33" fillId="0" borderId="18" xfId="0" applyFont="1" applyBorder="1" applyAlignment="1">
      <alignment vertical="center"/>
    </xf>
    <xf numFmtId="165" fontId="0" fillId="0" borderId="18" xfId="1" applyNumberFormat="1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/>
    </xf>
    <xf numFmtId="0" fontId="24" fillId="11" borderId="6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9" fillId="0" borderId="0" xfId="5" applyFont="1" applyAlignment="1">
      <alignment horizontal="center"/>
    </xf>
    <xf numFmtId="0" fontId="14" fillId="0" borderId="5" xfId="5" applyFont="1" applyBorder="1" applyAlignment="1">
      <alignment horizontal="left" vertical="center" wrapText="1"/>
    </xf>
    <xf numFmtId="166" fontId="14" fillId="0" borderId="5" xfId="5" applyNumberFormat="1" applyFont="1" applyBorder="1" applyAlignment="1">
      <alignment horizontal="right" vertical="center"/>
    </xf>
    <xf numFmtId="0" fontId="19" fillId="6" borderId="15" xfId="5" applyFont="1" applyFill="1" applyBorder="1" applyAlignment="1">
      <alignment horizontal="center" vertical="center" wrapText="1"/>
    </xf>
    <xf numFmtId="0" fontId="19" fillId="6" borderId="29" xfId="5" applyFont="1" applyFill="1" applyBorder="1" applyAlignment="1">
      <alignment horizontal="center" vertical="center" wrapText="1"/>
    </xf>
    <xf numFmtId="0" fontId="19" fillId="6" borderId="5" xfId="5" applyFont="1" applyFill="1" applyBorder="1" applyAlignment="1">
      <alignment horizontal="center" vertical="center" wrapText="1"/>
    </xf>
    <xf numFmtId="0" fontId="19" fillId="5" borderId="61" xfId="5" applyFont="1" applyFill="1" applyBorder="1" applyAlignment="1">
      <alignment horizontal="center" vertical="center" wrapText="1"/>
    </xf>
    <xf numFmtId="0" fontId="19" fillId="5" borderId="30" xfId="5" applyFont="1" applyFill="1" applyBorder="1" applyAlignment="1">
      <alignment horizontal="center" vertical="center" wrapText="1"/>
    </xf>
    <xf numFmtId="0" fontId="19" fillId="6" borderId="61" xfId="5" applyFont="1" applyFill="1" applyBorder="1" applyAlignment="1">
      <alignment horizontal="center" vertical="center" wrapText="1"/>
    </xf>
    <xf numFmtId="0" fontId="19" fillId="6" borderId="30" xfId="5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9" fillId="6" borderId="5" xfId="5" applyFont="1" applyFill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2" fillId="8" borderId="13" xfId="5" applyFont="1" applyFill="1" applyBorder="1" applyAlignment="1">
      <alignment horizontal="center" vertical="center"/>
    </xf>
    <xf numFmtId="0" fontId="12" fillId="8" borderId="10" xfId="5" applyFont="1" applyFill="1" applyBorder="1" applyAlignment="1">
      <alignment horizontal="center" vertical="center"/>
    </xf>
    <xf numFmtId="0" fontId="21" fillId="0" borderId="13" xfId="5" applyFont="1" applyBorder="1" applyAlignment="1">
      <alignment horizontal="center" vertical="center"/>
    </xf>
    <xf numFmtId="0" fontId="21" fillId="0" borderId="10" xfId="5" applyFont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21" fillId="0" borderId="13" xfId="5" applyFont="1" applyBorder="1" applyAlignment="1">
      <alignment horizontal="center"/>
    </xf>
    <xf numFmtId="0" fontId="21" fillId="0" borderId="10" xfId="5" applyFont="1" applyBorder="1" applyAlignment="1">
      <alignment horizontal="center"/>
    </xf>
    <xf numFmtId="0" fontId="12" fillId="8" borderId="43" xfId="5" applyFont="1" applyFill="1" applyBorder="1" applyAlignment="1">
      <alignment horizontal="center" vertical="center"/>
    </xf>
    <xf numFmtId="0" fontId="12" fillId="8" borderId="63" xfId="5" applyFont="1" applyFill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44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3" borderId="53" xfId="4" applyFont="1" applyFill="1" applyBorder="1" applyAlignment="1">
      <alignment horizontal="center" vertical="center"/>
    </xf>
    <xf numFmtId="0" fontId="10" fillId="3" borderId="49" xfId="4" applyFont="1" applyFill="1" applyBorder="1" applyAlignment="1">
      <alignment horizontal="center" vertical="center"/>
    </xf>
    <xf numFmtId="0" fontId="10" fillId="3" borderId="50" xfId="4" applyFont="1" applyFill="1" applyBorder="1" applyAlignment="1">
      <alignment horizontal="center" vertical="center"/>
    </xf>
    <xf numFmtId="0" fontId="10" fillId="3" borderId="32" xfId="4" applyFont="1" applyFill="1" applyBorder="1" applyAlignment="1">
      <alignment horizontal="center" vertical="center"/>
    </xf>
    <xf numFmtId="0" fontId="10" fillId="3" borderId="33" xfId="4" applyFont="1" applyFill="1" applyBorder="1" applyAlignment="1">
      <alignment horizontal="center" vertical="center"/>
    </xf>
    <xf numFmtId="0" fontId="10" fillId="3" borderId="48" xfId="4" applyFont="1" applyFill="1" applyBorder="1" applyAlignment="1">
      <alignment horizontal="center" vertical="center"/>
    </xf>
    <xf numFmtId="0" fontId="10" fillId="3" borderId="43" xfId="4" applyFont="1" applyFill="1" applyBorder="1" applyAlignment="1">
      <alignment horizontal="center" vertical="center"/>
    </xf>
    <xf numFmtId="0" fontId="10" fillId="3" borderId="45" xfId="4" applyFont="1" applyFill="1" applyBorder="1" applyAlignment="1">
      <alignment horizontal="center" vertical="center"/>
    </xf>
    <xf numFmtId="0" fontId="10" fillId="3" borderId="44" xfId="4" applyFont="1" applyFill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3" borderId="39" xfId="4" applyFont="1" applyFill="1" applyBorder="1" applyAlignment="1">
      <alignment horizontal="center" vertical="center"/>
    </xf>
  </cellXfs>
  <cellStyles count="8">
    <cellStyle name="Hipervínculo" xfId="2" builtinId="8"/>
    <cellStyle name="Millares [0] 2" xfId="7" xr:uid="{00000000-0005-0000-0000-000001000000}"/>
    <cellStyle name="Moneda" xfId="1" builtinId="4"/>
    <cellStyle name="Moneda 2" xfId="6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colors>
    <mruColors>
      <color rgb="FFE7E4D5"/>
      <color rgb="FFF4F9FE"/>
      <color rgb="FFCCCCFF"/>
      <color rgb="FFCCECFF"/>
      <color rgb="FFDCEBF2"/>
      <color rgb="FF82DAA6"/>
      <color rgb="FFD578E4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26</xdr:row>
      <xdr:rowOff>107950</xdr:rowOff>
    </xdr:to>
    <xdr:sp macro="" textlink="">
      <xdr:nvSpPr>
        <xdr:cNvPr id="1025" name="AutoShape 1" descr="https://www.hotelesdanncali.com.co/portal/wp-content/uploads/telephone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3335000" y="547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311150</xdr:colOff>
      <xdr:row>25</xdr:row>
      <xdr:rowOff>0</xdr:rowOff>
    </xdr:from>
    <xdr:to>
      <xdr:col>7</xdr:col>
      <xdr:colOff>615950</xdr:colOff>
      <xdr:row>26</xdr:row>
      <xdr:rowOff>107950</xdr:rowOff>
    </xdr:to>
    <xdr:sp macro="" textlink="">
      <xdr:nvSpPr>
        <xdr:cNvPr id="1026" name="AutoShape 2" descr="https://www.hotelesdanncali.com.co/portal/wp-content/uploads/email-open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3646150" y="547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v@hoteltorredecali.com" TargetMode="External"/><Relationship Id="rId2" Type="http://schemas.openxmlformats.org/officeDocument/2006/relationships/hyperlink" Target="mailto:luisa.bernal@movichhotels.com-%20:%20Luisa%20Fernanda%20Bernal%20&#8211;%20ext.%20190" TargetMode="External"/><Relationship Id="rId1" Type="http://schemas.openxmlformats.org/officeDocument/2006/relationships/hyperlink" Target="mailto:daniela.garces@R-HR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servas@spiwa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opLeftCell="A13" zoomScaleNormal="100" workbookViewId="0">
      <selection activeCell="C9" sqref="C9"/>
    </sheetView>
  </sheetViews>
  <sheetFormatPr baseColWidth="10" defaultColWidth="9.85546875" defaultRowHeight="15" x14ac:dyDescent="0.2"/>
  <cols>
    <col min="1" max="1" width="23.42578125" style="1" bestFit="1" customWidth="1"/>
    <col min="2" max="2" width="35.85546875" style="1" bestFit="1" customWidth="1"/>
    <col min="3" max="3" width="14" style="2" bestFit="1" customWidth="1"/>
    <col min="4" max="4" width="10.140625" style="2" bestFit="1" customWidth="1"/>
    <col min="5" max="5" width="36.85546875" style="1" bestFit="1" customWidth="1"/>
    <col min="6" max="6" width="39.42578125" style="3" bestFit="1" customWidth="1"/>
    <col min="7" max="7" width="31.42578125" style="2" bestFit="1" customWidth="1"/>
    <col min="8" max="8" width="31.140625" style="2" customWidth="1"/>
    <col min="9" max="9" width="10" style="1" customWidth="1"/>
    <col min="10" max="10" width="9.85546875" style="1" customWidth="1"/>
    <col min="11" max="16384" width="9.85546875" style="1"/>
  </cols>
  <sheetData>
    <row r="1" spans="1:31" ht="16.5" thickBot="1" x14ac:dyDescent="0.25">
      <c r="B1" s="316" t="s">
        <v>0</v>
      </c>
      <c r="C1" s="317"/>
      <c r="D1" s="317"/>
      <c r="E1" s="317"/>
      <c r="F1" s="317"/>
      <c r="G1" s="317"/>
      <c r="H1" s="318"/>
      <c r="I1" s="4"/>
    </row>
    <row r="2" spans="1:31" ht="15.75" thickBot="1" x14ac:dyDescent="0.25">
      <c r="B2" s="17"/>
    </row>
    <row r="3" spans="1:31" s="18" customFormat="1" ht="48" thickBot="1" x14ac:dyDescent="0.25">
      <c r="B3" s="84" t="s">
        <v>1</v>
      </c>
      <c r="C3" s="85" t="s">
        <v>2</v>
      </c>
      <c r="D3" s="85" t="s">
        <v>3</v>
      </c>
      <c r="E3" s="86" t="s">
        <v>4</v>
      </c>
      <c r="F3" s="87" t="s">
        <v>5</v>
      </c>
      <c r="G3" s="87" t="s">
        <v>6</v>
      </c>
      <c r="H3" s="88" t="s">
        <v>7</v>
      </c>
      <c r="I3" s="45"/>
      <c r="M3" s="45"/>
      <c r="N3" s="45"/>
      <c r="O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x14ac:dyDescent="0.2">
      <c r="A4" s="313" t="s">
        <v>8</v>
      </c>
      <c r="B4" s="102" t="s">
        <v>9</v>
      </c>
      <c r="C4" s="31">
        <v>5</v>
      </c>
      <c r="D4" s="16">
        <v>19</v>
      </c>
      <c r="E4" s="32" t="s">
        <v>10</v>
      </c>
      <c r="F4" s="14" t="s">
        <v>11</v>
      </c>
      <c r="G4" s="33" t="s">
        <v>12</v>
      </c>
      <c r="H4" s="34"/>
    </row>
    <row r="5" spans="1:31" x14ac:dyDescent="0.2">
      <c r="A5" s="314"/>
      <c r="B5" s="103" t="s">
        <v>13</v>
      </c>
      <c r="C5" s="12">
        <v>5</v>
      </c>
      <c r="D5" s="12" t="s">
        <v>14</v>
      </c>
      <c r="E5" s="25" t="s">
        <v>15</v>
      </c>
      <c r="F5" s="10" t="s">
        <v>11</v>
      </c>
      <c r="G5" s="27" t="s">
        <v>16</v>
      </c>
      <c r="H5" s="8"/>
    </row>
    <row r="6" spans="1:31" x14ac:dyDescent="0.2">
      <c r="A6" s="314"/>
      <c r="B6" s="58" t="s">
        <v>17</v>
      </c>
      <c r="C6" s="12">
        <v>4</v>
      </c>
      <c r="D6" s="12" t="s">
        <v>14</v>
      </c>
      <c r="E6" s="11" t="s">
        <v>18</v>
      </c>
      <c r="F6" s="10" t="s">
        <v>19</v>
      </c>
      <c r="G6" s="9" t="s">
        <v>20</v>
      </c>
      <c r="H6" s="8"/>
    </row>
    <row r="7" spans="1:31" x14ac:dyDescent="0.2">
      <c r="A7" s="314"/>
      <c r="B7" s="58" t="s">
        <v>21</v>
      </c>
      <c r="C7" s="12">
        <v>4</v>
      </c>
      <c r="D7" s="12" t="s">
        <v>14</v>
      </c>
      <c r="E7" s="11" t="s">
        <v>22</v>
      </c>
      <c r="F7" s="10" t="s">
        <v>23</v>
      </c>
      <c r="G7" s="9" t="s">
        <v>24</v>
      </c>
      <c r="H7" s="8"/>
    </row>
    <row r="8" spans="1:31" ht="15.75" thickBot="1" x14ac:dyDescent="0.25">
      <c r="A8" s="314"/>
      <c r="B8" s="59" t="s">
        <v>25</v>
      </c>
      <c r="C8" s="19">
        <v>4</v>
      </c>
      <c r="D8" s="19" t="s">
        <v>14</v>
      </c>
      <c r="E8" s="20" t="s">
        <v>26</v>
      </c>
      <c r="F8" s="21" t="s">
        <v>27</v>
      </c>
      <c r="G8" s="22" t="s">
        <v>28</v>
      </c>
      <c r="H8" s="23"/>
    </row>
    <row r="9" spans="1:31" x14ac:dyDescent="0.2">
      <c r="A9" s="322" t="s">
        <v>29</v>
      </c>
      <c r="B9" s="60" t="s">
        <v>30</v>
      </c>
      <c r="C9" s="38">
        <v>5</v>
      </c>
      <c r="D9" s="38">
        <v>1</v>
      </c>
      <c r="E9" s="40" t="s">
        <v>31</v>
      </c>
      <c r="F9" s="14" t="s">
        <v>32</v>
      </c>
      <c r="G9" s="41" t="s">
        <v>33</v>
      </c>
      <c r="H9" s="34"/>
    </row>
    <row r="10" spans="1:31" x14ac:dyDescent="0.2">
      <c r="A10" s="320"/>
      <c r="B10" s="61" t="s">
        <v>34</v>
      </c>
      <c r="C10" s="9">
        <v>4</v>
      </c>
      <c r="D10" s="9">
        <v>91</v>
      </c>
      <c r="E10" s="25" t="s">
        <v>35</v>
      </c>
      <c r="F10" s="10" t="s">
        <v>36</v>
      </c>
      <c r="G10" s="27" t="s">
        <v>37</v>
      </c>
      <c r="H10" s="8"/>
    </row>
    <row r="11" spans="1:31" ht="15.75" x14ac:dyDescent="0.2">
      <c r="A11" s="320"/>
      <c r="B11" s="62" t="s">
        <v>38</v>
      </c>
      <c r="C11" s="9">
        <v>5</v>
      </c>
      <c r="D11" s="9">
        <v>8</v>
      </c>
      <c r="E11" s="25" t="s">
        <v>39</v>
      </c>
      <c r="F11" s="10" t="s">
        <v>40</v>
      </c>
      <c r="G11" s="27" t="s">
        <v>41</v>
      </c>
      <c r="H11" s="8"/>
      <c r="I11" s="4"/>
      <c r="M11" s="4"/>
      <c r="N11" s="4"/>
      <c r="O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 x14ac:dyDescent="0.2">
      <c r="A12" s="320"/>
      <c r="B12" s="62" t="s">
        <v>42</v>
      </c>
      <c r="C12" s="9">
        <v>4</v>
      </c>
      <c r="D12" s="9">
        <v>10</v>
      </c>
      <c r="E12" s="25" t="s">
        <v>43</v>
      </c>
      <c r="F12" s="10" t="s">
        <v>44</v>
      </c>
      <c r="G12" s="27" t="s">
        <v>45</v>
      </c>
      <c r="H12" s="8"/>
      <c r="I12" s="4"/>
      <c r="M12" s="4"/>
      <c r="N12" s="4"/>
      <c r="O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 x14ac:dyDescent="0.2">
      <c r="A13" s="320"/>
      <c r="B13" s="63" t="s">
        <v>46</v>
      </c>
      <c r="C13" s="9">
        <v>5</v>
      </c>
      <c r="D13" s="9" t="s">
        <v>14</v>
      </c>
      <c r="E13" s="11" t="s">
        <v>47</v>
      </c>
      <c r="F13" s="10" t="s">
        <v>48</v>
      </c>
      <c r="G13" s="9" t="s">
        <v>49</v>
      </c>
      <c r="H13" s="8"/>
      <c r="I13" s="4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 x14ac:dyDescent="0.2">
      <c r="A14" s="320"/>
      <c r="B14" s="58" t="s">
        <v>50</v>
      </c>
      <c r="C14" s="12">
        <v>5</v>
      </c>
      <c r="D14" s="12" t="s">
        <v>14</v>
      </c>
      <c r="E14" s="11" t="s">
        <v>51</v>
      </c>
      <c r="F14" s="10" t="s">
        <v>52</v>
      </c>
      <c r="G14" s="9" t="s">
        <v>53</v>
      </c>
      <c r="H14" s="8"/>
      <c r="L14" s="4"/>
      <c r="M14" s="4"/>
      <c r="O14" s="4"/>
      <c r="P14" s="4"/>
      <c r="R14" s="4"/>
      <c r="S14" s="4"/>
      <c r="U14" s="4"/>
    </row>
    <row r="15" spans="1:31" x14ac:dyDescent="0.2">
      <c r="A15" s="320"/>
      <c r="B15" s="58" t="s">
        <v>54</v>
      </c>
      <c r="C15" s="12">
        <v>5</v>
      </c>
      <c r="D15" s="12" t="s">
        <v>14</v>
      </c>
      <c r="E15" s="11" t="s">
        <v>55</v>
      </c>
      <c r="F15" s="10" t="s">
        <v>56</v>
      </c>
      <c r="G15" s="9" t="s">
        <v>57</v>
      </c>
      <c r="H15" s="8"/>
    </row>
    <row r="16" spans="1:31" x14ac:dyDescent="0.2">
      <c r="A16" s="320"/>
      <c r="B16" s="63" t="s">
        <v>58</v>
      </c>
      <c r="C16" s="12">
        <v>4</v>
      </c>
      <c r="D16" s="12" t="s">
        <v>14</v>
      </c>
      <c r="E16" s="11" t="s">
        <v>59</v>
      </c>
      <c r="F16" s="10" t="s">
        <v>60</v>
      </c>
      <c r="G16" s="9" t="s">
        <v>61</v>
      </c>
      <c r="H16" s="8"/>
    </row>
    <row r="17" spans="1:31" ht="16.5" thickBot="1" x14ac:dyDescent="0.25">
      <c r="A17" s="321"/>
      <c r="B17" s="64" t="s">
        <v>62</v>
      </c>
      <c r="C17" s="35">
        <v>4</v>
      </c>
      <c r="D17" s="35" t="s">
        <v>14</v>
      </c>
      <c r="E17" s="7" t="s">
        <v>63</v>
      </c>
      <c r="F17" s="6" t="s">
        <v>64</v>
      </c>
      <c r="G17" s="5" t="s">
        <v>65</v>
      </c>
      <c r="H17" s="36"/>
      <c r="L17" s="4"/>
      <c r="M17" s="4"/>
      <c r="O17" s="4"/>
      <c r="P17" s="4"/>
      <c r="R17" s="4"/>
      <c r="S17" s="4"/>
      <c r="U17" s="4"/>
    </row>
    <row r="18" spans="1:31" ht="15.75" x14ac:dyDescent="0.2">
      <c r="A18" s="319" t="s">
        <v>66</v>
      </c>
      <c r="B18" s="65" t="s">
        <v>67</v>
      </c>
      <c r="C18" s="37">
        <v>5</v>
      </c>
      <c r="D18" s="37">
        <v>64</v>
      </c>
      <c r="E18" s="28" t="s">
        <v>68</v>
      </c>
      <c r="F18" s="30" t="s">
        <v>69</v>
      </c>
      <c r="G18" s="29" t="s">
        <v>70</v>
      </c>
      <c r="H18" s="39"/>
      <c r="L18" s="4"/>
      <c r="M18" s="4"/>
      <c r="O18" s="4"/>
      <c r="P18" s="4"/>
      <c r="R18" s="4"/>
      <c r="S18" s="4"/>
      <c r="U18" s="4"/>
    </row>
    <row r="19" spans="1:31" ht="15.75" x14ac:dyDescent="0.2">
      <c r="A19" s="320"/>
      <c r="B19" s="58" t="s">
        <v>71</v>
      </c>
      <c r="C19" s="12">
        <v>5</v>
      </c>
      <c r="D19" s="12" t="s">
        <v>14</v>
      </c>
      <c r="E19" s="11" t="s">
        <v>72</v>
      </c>
      <c r="F19" s="10" t="s">
        <v>73</v>
      </c>
      <c r="G19" s="9" t="s">
        <v>74</v>
      </c>
      <c r="H19" s="8"/>
      <c r="L19" s="4"/>
      <c r="M19" s="4"/>
      <c r="O19" s="4"/>
      <c r="P19" s="4"/>
      <c r="R19" s="4"/>
      <c r="S19" s="4"/>
      <c r="U19" s="4"/>
    </row>
    <row r="20" spans="1:31" ht="15.75" x14ac:dyDescent="0.2">
      <c r="A20" s="320"/>
      <c r="B20" s="58" t="s">
        <v>75</v>
      </c>
      <c r="C20" s="12">
        <v>4</v>
      </c>
      <c r="D20" s="12" t="s">
        <v>14</v>
      </c>
      <c r="E20" s="11" t="s">
        <v>76</v>
      </c>
      <c r="F20" s="10" t="s">
        <v>77</v>
      </c>
      <c r="G20" s="9" t="s">
        <v>78</v>
      </c>
      <c r="H20" s="8"/>
      <c r="L20" s="4"/>
      <c r="M20" s="4"/>
      <c r="O20" s="4"/>
      <c r="P20" s="4"/>
      <c r="R20" s="4"/>
      <c r="S20" s="4"/>
      <c r="U20" s="4"/>
    </row>
    <row r="21" spans="1:31" ht="15.75" x14ac:dyDescent="0.2">
      <c r="A21" s="320"/>
      <c r="B21" s="58" t="s">
        <v>79</v>
      </c>
      <c r="C21" s="12">
        <v>4</v>
      </c>
      <c r="D21" s="12" t="s">
        <v>14</v>
      </c>
      <c r="E21" s="11" t="s">
        <v>80</v>
      </c>
      <c r="F21" s="10" t="s">
        <v>81</v>
      </c>
      <c r="G21" s="9" t="s">
        <v>82</v>
      </c>
      <c r="H21" s="8"/>
      <c r="L21" s="4"/>
      <c r="M21" s="4"/>
      <c r="O21" s="4"/>
      <c r="P21" s="4"/>
      <c r="R21" s="4"/>
      <c r="S21" s="4"/>
      <c r="U21" s="4"/>
    </row>
    <row r="22" spans="1:31" ht="16.5" thickBot="1" x14ac:dyDescent="0.25">
      <c r="A22" s="321"/>
      <c r="B22" s="64" t="s">
        <v>83</v>
      </c>
      <c r="C22" s="35">
        <v>4</v>
      </c>
      <c r="D22" s="35" t="s">
        <v>14</v>
      </c>
      <c r="E22" s="7" t="s">
        <v>84</v>
      </c>
      <c r="F22" s="6" t="s">
        <v>85</v>
      </c>
      <c r="G22" s="5" t="s">
        <v>86</v>
      </c>
      <c r="H22" s="36"/>
      <c r="I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x14ac:dyDescent="0.2">
      <c r="A23" s="313" t="s">
        <v>87</v>
      </c>
      <c r="B23" s="66" t="s">
        <v>38</v>
      </c>
      <c r="C23" s="31">
        <v>5</v>
      </c>
      <c r="D23" s="44">
        <v>24</v>
      </c>
      <c r="E23" s="42" t="s">
        <v>88</v>
      </c>
      <c r="F23" s="14" t="s">
        <v>89</v>
      </c>
      <c r="G23" s="43" t="s">
        <v>90</v>
      </c>
      <c r="H23" s="34"/>
      <c r="I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x14ac:dyDescent="0.2">
      <c r="A24" s="314"/>
      <c r="B24" s="66" t="s">
        <v>91</v>
      </c>
      <c r="C24" s="37">
        <v>5</v>
      </c>
      <c r="D24" s="44">
        <v>44</v>
      </c>
      <c r="E24" s="24" t="s">
        <v>92</v>
      </c>
      <c r="F24" s="30" t="s">
        <v>93</v>
      </c>
      <c r="G24" s="26" t="s">
        <v>94</v>
      </c>
      <c r="H24" s="9"/>
      <c r="I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5.5" x14ac:dyDescent="0.2">
      <c r="A25" s="314"/>
      <c r="B25" s="91" t="s">
        <v>95</v>
      </c>
      <c r="C25" s="12">
        <v>5</v>
      </c>
      <c r="D25" s="12" t="s">
        <v>14</v>
      </c>
      <c r="E25" s="11" t="s">
        <v>96</v>
      </c>
      <c r="F25" s="10" t="s">
        <v>97</v>
      </c>
      <c r="G25" s="9" t="s">
        <v>98</v>
      </c>
      <c r="H25" s="92" t="s">
        <v>99</v>
      </c>
      <c r="I25" s="4"/>
      <c r="M25" s="4"/>
      <c r="N25" s="4"/>
      <c r="O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x14ac:dyDescent="0.2">
      <c r="A26" s="314"/>
      <c r="B26" s="91" t="s">
        <v>100</v>
      </c>
      <c r="C26" s="12">
        <v>5</v>
      </c>
      <c r="D26" s="12" t="s">
        <v>14</v>
      </c>
      <c r="E26" s="11" t="s">
        <v>101</v>
      </c>
      <c r="F26" s="10" t="s">
        <v>102</v>
      </c>
      <c r="G26" s="9" t="s">
        <v>103</v>
      </c>
      <c r="H26" s="93" t="s">
        <v>104</v>
      </c>
      <c r="I26" s="4"/>
      <c r="M26" s="4"/>
      <c r="N26" s="4"/>
      <c r="O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5.5" x14ac:dyDescent="0.2">
      <c r="A27" s="314"/>
      <c r="B27" s="91" t="s">
        <v>105</v>
      </c>
      <c r="C27" s="12">
        <v>5</v>
      </c>
      <c r="D27" s="12" t="s">
        <v>14</v>
      </c>
      <c r="E27" s="11" t="s">
        <v>106</v>
      </c>
      <c r="F27" s="10" t="s">
        <v>107</v>
      </c>
      <c r="G27" s="9" t="s">
        <v>108</v>
      </c>
      <c r="H27" s="92" t="s">
        <v>109</v>
      </c>
      <c r="I27" s="4"/>
      <c r="M27" s="4"/>
      <c r="N27" s="4"/>
      <c r="O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x14ac:dyDescent="0.2">
      <c r="A28" s="314"/>
      <c r="B28" s="91" t="s">
        <v>110</v>
      </c>
      <c r="C28" s="12">
        <v>4</v>
      </c>
      <c r="D28" s="12" t="s">
        <v>14</v>
      </c>
      <c r="E28" s="11" t="s">
        <v>111</v>
      </c>
      <c r="F28" s="10" t="s">
        <v>112</v>
      </c>
      <c r="G28" s="9" t="s">
        <v>113</v>
      </c>
      <c r="H28" s="96" t="s">
        <v>114</v>
      </c>
      <c r="I28" s="4"/>
      <c r="M28" s="4"/>
      <c r="N28" s="4"/>
      <c r="O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 x14ac:dyDescent="0.2">
      <c r="A29" s="314"/>
      <c r="B29" s="100" t="s">
        <v>115</v>
      </c>
      <c r="C29" s="19">
        <v>5</v>
      </c>
      <c r="D29" s="19"/>
      <c r="E29" s="20" t="s">
        <v>116</v>
      </c>
      <c r="F29" s="10" t="s">
        <v>117</v>
      </c>
      <c r="G29" s="9" t="s">
        <v>118</v>
      </c>
      <c r="H29" s="94" t="s">
        <v>119</v>
      </c>
      <c r="I29" s="4"/>
      <c r="M29" s="4"/>
      <c r="N29" s="4"/>
      <c r="O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3" customFormat="1" ht="30.75" thickBot="1" x14ac:dyDescent="0.25">
      <c r="A30" s="314"/>
      <c r="B30" s="97" t="s">
        <v>120</v>
      </c>
      <c r="C30" s="46">
        <v>4</v>
      </c>
      <c r="D30" s="46" t="s">
        <v>14</v>
      </c>
      <c r="E30" s="21" t="s">
        <v>121</v>
      </c>
      <c r="F30" s="21" t="s">
        <v>122</v>
      </c>
      <c r="G30" s="48" t="s">
        <v>123</v>
      </c>
      <c r="H30" s="101"/>
      <c r="I30" s="13"/>
      <c r="M30" s="13"/>
      <c r="N30" s="13"/>
      <c r="O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3" customFormat="1" ht="15.75" x14ac:dyDescent="0.2">
      <c r="A31" s="322" t="s">
        <v>124</v>
      </c>
      <c r="B31" s="67" t="s">
        <v>125</v>
      </c>
      <c r="C31" s="49">
        <v>5</v>
      </c>
      <c r="D31" s="49">
        <v>136</v>
      </c>
      <c r="E31" s="14" t="s">
        <v>126</v>
      </c>
      <c r="F31" s="14" t="s">
        <v>127</v>
      </c>
      <c r="G31" s="48" t="s">
        <v>128</v>
      </c>
      <c r="H31" s="95" t="s">
        <v>129</v>
      </c>
      <c r="I31" s="13"/>
      <c r="M31" s="13"/>
      <c r="N31" s="13"/>
      <c r="O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3" customFormat="1" ht="15.75" x14ac:dyDescent="0.2">
      <c r="A32" s="320"/>
      <c r="B32" s="68" t="s">
        <v>130</v>
      </c>
      <c r="C32" s="47">
        <v>4</v>
      </c>
      <c r="D32" s="47">
        <v>3</v>
      </c>
      <c r="E32" s="10" t="s">
        <v>131</v>
      </c>
      <c r="F32" s="10" t="s">
        <v>132</v>
      </c>
      <c r="G32" s="48"/>
      <c r="H32" s="50"/>
      <c r="I32" s="13"/>
      <c r="M32" s="13"/>
      <c r="N32" s="13"/>
      <c r="O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">
      <c r="A33" s="320"/>
      <c r="B33" s="58" t="s">
        <v>133</v>
      </c>
      <c r="C33" s="12">
        <v>5</v>
      </c>
      <c r="D33" s="12" t="s">
        <v>14</v>
      </c>
      <c r="E33" s="11" t="s">
        <v>134</v>
      </c>
      <c r="F33" s="10" t="s">
        <v>135</v>
      </c>
      <c r="G33" s="9" t="s">
        <v>136</v>
      </c>
      <c r="H33" s="8"/>
    </row>
    <row r="34" spans="1:31" ht="15.75" x14ac:dyDescent="0.2">
      <c r="A34" s="320"/>
      <c r="B34" s="58" t="s">
        <v>137</v>
      </c>
      <c r="C34" s="12">
        <v>5</v>
      </c>
      <c r="D34" s="12" t="s">
        <v>14</v>
      </c>
      <c r="E34" s="11" t="s">
        <v>138</v>
      </c>
      <c r="F34" s="10" t="s">
        <v>139</v>
      </c>
      <c r="G34" s="9" t="s">
        <v>140</v>
      </c>
      <c r="H34" s="8"/>
      <c r="I34" s="4"/>
      <c r="M34" s="4"/>
      <c r="N34" s="4"/>
      <c r="O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30" x14ac:dyDescent="0.2">
      <c r="A35" s="320"/>
      <c r="B35" s="68" t="s">
        <v>141</v>
      </c>
      <c r="C35" s="12">
        <v>5</v>
      </c>
      <c r="D35" s="12" t="s">
        <v>14</v>
      </c>
      <c r="E35" s="11" t="s">
        <v>142</v>
      </c>
      <c r="F35" s="10" t="s">
        <v>143</v>
      </c>
      <c r="G35" s="9" t="s">
        <v>144</v>
      </c>
      <c r="H35" s="8"/>
    </row>
    <row r="36" spans="1:31" x14ac:dyDescent="0.2">
      <c r="A36" s="323"/>
      <c r="B36" s="68" t="s">
        <v>145</v>
      </c>
      <c r="C36" s="19"/>
      <c r="D36" s="19"/>
      <c r="E36" s="20"/>
      <c r="F36" s="21"/>
      <c r="G36" s="22"/>
      <c r="H36" s="23"/>
    </row>
    <row r="37" spans="1:31" x14ac:dyDescent="0.2">
      <c r="A37" s="323"/>
      <c r="B37" s="59" t="s">
        <v>146</v>
      </c>
      <c r="C37" s="19">
        <v>4</v>
      </c>
      <c r="D37" s="19" t="s">
        <v>14</v>
      </c>
      <c r="E37" s="20" t="s">
        <v>147</v>
      </c>
      <c r="F37" s="21" t="s">
        <v>139</v>
      </c>
      <c r="G37" s="22" t="s">
        <v>148</v>
      </c>
      <c r="H37" s="23"/>
    </row>
    <row r="38" spans="1:31" ht="30" x14ac:dyDescent="0.2">
      <c r="A38" s="324"/>
      <c r="B38" s="98" t="s">
        <v>149</v>
      </c>
      <c r="C38" s="12">
        <v>5</v>
      </c>
      <c r="D38" s="12"/>
      <c r="E38" s="11" t="s">
        <v>150</v>
      </c>
      <c r="F38" s="10" t="s">
        <v>151</v>
      </c>
      <c r="G38" s="9" t="s">
        <v>152</v>
      </c>
      <c r="H38" s="9" t="s">
        <v>153</v>
      </c>
    </row>
    <row r="39" spans="1:31" x14ac:dyDescent="0.2">
      <c r="A39" s="324"/>
      <c r="B39" s="98" t="s">
        <v>154</v>
      </c>
      <c r="C39" s="12">
        <v>5</v>
      </c>
      <c r="D39" s="12"/>
      <c r="E39" s="11" t="s">
        <v>155</v>
      </c>
      <c r="F39" s="10" t="s">
        <v>156</v>
      </c>
      <c r="G39" s="9" t="s">
        <v>157</v>
      </c>
      <c r="H39" s="9"/>
    </row>
    <row r="40" spans="1:31" x14ac:dyDescent="0.2">
      <c r="A40" s="324"/>
      <c r="B40" s="98" t="s">
        <v>158</v>
      </c>
      <c r="C40" s="12">
        <v>5</v>
      </c>
      <c r="D40" s="12"/>
      <c r="E40" s="11" t="s">
        <v>159</v>
      </c>
      <c r="F40" s="11" t="s">
        <v>160</v>
      </c>
      <c r="G40" s="9" t="s">
        <v>161</v>
      </c>
      <c r="H40" s="9"/>
    </row>
    <row r="41" spans="1:31" ht="16.5" thickBot="1" x14ac:dyDescent="0.25">
      <c r="A41" s="324"/>
      <c r="B41" s="99" t="s">
        <v>162</v>
      </c>
      <c r="C41" s="12">
        <v>5</v>
      </c>
      <c r="D41" s="11"/>
      <c r="E41" s="11" t="s">
        <v>163</v>
      </c>
      <c r="F41" s="11" t="s">
        <v>160</v>
      </c>
      <c r="G41" s="9" t="s">
        <v>164</v>
      </c>
      <c r="H41" s="11"/>
      <c r="I41" s="4"/>
      <c r="M41" s="4"/>
      <c r="N41" s="4"/>
      <c r="O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 x14ac:dyDescent="0.2">
      <c r="A42" s="322" t="s">
        <v>165</v>
      </c>
      <c r="B42" s="65" t="s">
        <v>166</v>
      </c>
      <c r="C42" s="37">
        <v>3</v>
      </c>
      <c r="D42" s="37">
        <v>88</v>
      </c>
      <c r="E42" s="28" t="s">
        <v>167</v>
      </c>
      <c r="F42" s="30"/>
      <c r="G42" s="29" t="s">
        <v>168</v>
      </c>
      <c r="H42" s="39"/>
      <c r="I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.75" x14ac:dyDescent="0.2">
      <c r="A43" s="320"/>
      <c r="B43" s="58" t="s">
        <v>169</v>
      </c>
      <c r="C43" s="12">
        <v>4</v>
      </c>
      <c r="D43" s="12" t="s">
        <v>14</v>
      </c>
      <c r="E43" s="11" t="s">
        <v>170</v>
      </c>
      <c r="F43" s="10" t="s">
        <v>171</v>
      </c>
      <c r="G43" s="9" t="s">
        <v>172</v>
      </c>
      <c r="H43" s="8"/>
      <c r="I43" s="4"/>
      <c r="M43" s="4"/>
      <c r="N43" s="4"/>
      <c r="O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 x14ac:dyDescent="0.2">
      <c r="A44" s="320"/>
      <c r="B44" s="58" t="s">
        <v>173</v>
      </c>
      <c r="C44" s="12">
        <v>4</v>
      </c>
      <c r="D44" s="12" t="s">
        <v>14</v>
      </c>
      <c r="E44" s="11" t="s">
        <v>174</v>
      </c>
      <c r="F44" s="10" t="s">
        <v>175</v>
      </c>
      <c r="G44" s="9" t="s">
        <v>176</v>
      </c>
      <c r="H44" s="8"/>
      <c r="I44" s="4"/>
      <c r="M44" s="4"/>
      <c r="N44" s="4"/>
      <c r="O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 x14ac:dyDescent="0.2">
      <c r="A45" s="320"/>
      <c r="B45" s="58" t="s">
        <v>177</v>
      </c>
      <c r="C45" s="12">
        <v>4</v>
      </c>
      <c r="D45" s="12" t="s">
        <v>14</v>
      </c>
      <c r="E45" s="11" t="s">
        <v>178</v>
      </c>
      <c r="F45" s="10" t="s">
        <v>179</v>
      </c>
      <c r="G45" s="9" t="s">
        <v>180</v>
      </c>
      <c r="H45" s="8"/>
      <c r="I45" s="4"/>
      <c r="M45" s="4"/>
      <c r="N45" s="4"/>
      <c r="O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 thickBot="1" x14ac:dyDescent="0.25">
      <c r="A46" s="321"/>
      <c r="B46" s="64" t="s">
        <v>181</v>
      </c>
      <c r="C46" s="35">
        <v>4</v>
      </c>
      <c r="D46" s="35" t="s">
        <v>14</v>
      </c>
      <c r="E46" s="7" t="s">
        <v>182</v>
      </c>
      <c r="F46" s="6" t="s">
        <v>183</v>
      </c>
      <c r="G46" s="5" t="s">
        <v>184</v>
      </c>
      <c r="H46" s="36"/>
    </row>
    <row r="47" spans="1:31" x14ac:dyDescent="0.2">
      <c r="A47" s="313" t="s">
        <v>185</v>
      </c>
      <c r="B47" s="69" t="s">
        <v>186</v>
      </c>
      <c r="C47" s="31">
        <v>4</v>
      </c>
      <c r="D47" s="31">
        <v>21</v>
      </c>
      <c r="E47" s="15" t="s">
        <v>187</v>
      </c>
      <c r="F47" s="15" t="s">
        <v>188</v>
      </c>
      <c r="G47" s="38" t="s">
        <v>189</v>
      </c>
      <c r="H47" s="34"/>
    </row>
    <row r="48" spans="1:31" ht="15.75" x14ac:dyDescent="0.2">
      <c r="A48" s="314"/>
      <c r="B48" s="65" t="s">
        <v>190</v>
      </c>
      <c r="C48" s="37">
        <v>4</v>
      </c>
      <c r="D48" s="37" t="s">
        <v>14</v>
      </c>
      <c r="E48" s="28" t="s">
        <v>191</v>
      </c>
      <c r="F48" s="30" t="s">
        <v>192</v>
      </c>
      <c r="G48" s="29" t="s">
        <v>193</v>
      </c>
      <c r="H48" s="39"/>
      <c r="I48" s="4"/>
      <c r="M48" s="4"/>
      <c r="N48" s="4"/>
      <c r="O48" s="4"/>
    </row>
    <row r="49" spans="1:31" ht="16.5" thickBot="1" x14ac:dyDescent="0.25">
      <c r="A49" s="315"/>
      <c r="B49" s="64" t="s">
        <v>194</v>
      </c>
      <c r="C49" s="35">
        <v>4</v>
      </c>
      <c r="D49" s="35" t="s">
        <v>14</v>
      </c>
      <c r="E49" s="7" t="s">
        <v>195</v>
      </c>
      <c r="F49" s="7" t="s">
        <v>196</v>
      </c>
      <c r="G49" s="5" t="s">
        <v>197</v>
      </c>
      <c r="H49" s="36"/>
      <c r="I49" s="4"/>
      <c r="M49" s="4"/>
      <c r="N49" s="4"/>
      <c r="O49" s="4"/>
    </row>
    <row r="50" spans="1:31" ht="15.75" x14ac:dyDescent="0.2">
      <c r="A50" s="322" t="s">
        <v>198</v>
      </c>
      <c r="B50" s="69" t="s">
        <v>199</v>
      </c>
      <c r="C50" s="31">
        <v>4</v>
      </c>
      <c r="D50" s="31">
        <v>97</v>
      </c>
      <c r="E50" s="15" t="s">
        <v>200</v>
      </c>
      <c r="F50" s="14" t="s">
        <v>201</v>
      </c>
      <c r="G50" s="38" t="s">
        <v>202</v>
      </c>
      <c r="H50" s="34"/>
      <c r="I50" s="4"/>
      <c r="M50" s="4"/>
      <c r="N50" s="4"/>
      <c r="O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 x14ac:dyDescent="0.2">
      <c r="A51" s="320"/>
      <c r="B51" s="58" t="s">
        <v>203</v>
      </c>
      <c r="C51" s="12">
        <v>4</v>
      </c>
      <c r="D51" s="12">
        <v>2</v>
      </c>
      <c r="E51" s="11" t="s">
        <v>204</v>
      </c>
      <c r="F51" s="10" t="s">
        <v>201</v>
      </c>
      <c r="G51" s="9" t="s">
        <v>205</v>
      </c>
      <c r="H51" s="8"/>
      <c r="I51" s="4"/>
      <c r="M51" s="4"/>
      <c r="N51" s="4"/>
      <c r="O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6.5" thickBot="1" x14ac:dyDescent="0.25">
      <c r="A52" s="321"/>
      <c r="B52" s="64" t="s">
        <v>206</v>
      </c>
      <c r="C52" s="35">
        <v>4</v>
      </c>
      <c r="D52" s="35" t="s">
        <v>14</v>
      </c>
      <c r="E52" s="7" t="s">
        <v>207</v>
      </c>
      <c r="F52" s="6" t="s">
        <v>208</v>
      </c>
      <c r="G52" s="5" t="s">
        <v>209</v>
      </c>
      <c r="H52" s="36"/>
      <c r="I52" s="4"/>
      <c r="M52" s="4"/>
      <c r="N52" s="4"/>
      <c r="O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 x14ac:dyDescent="0.2">
      <c r="A53" s="322" t="s">
        <v>210</v>
      </c>
      <c r="B53" s="69" t="s">
        <v>211</v>
      </c>
      <c r="C53" s="38">
        <v>4</v>
      </c>
      <c r="D53" s="38">
        <v>3</v>
      </c>
      <c r="E53" s="15" t="s">
        <v>212</v>
      </c>
      <c r="F53" s="14" t="s">
        <v>213</v>
      </c>
      <c r="G53" s="38" t="s">
        <v>214</v>
      </c>
      <c r="H53" s="51"/>
    </row>
    <row r="54" spans="1:31" ht="15.75" x14ac:dyDescent="0.2">
      <c r="A54" s="319"/>
      <c r="B54" s="65" t="s">
        <v>215</v>
      </c>
      <c r="C54" s="29">
        <v>4</v>
      </c>
      <c r="D54" s="29" t="s">
        <v>14</v>
      </c>
      <c r="E54" s="28" t="s">
        <v>216</v>
      </c>
      <c r="F54" s="30" t="s">
        <v>217</v>
      </c>
      <c r="G54" s="29" t="s">
        <v>218</v>
      </c>
      <c r="H54" s="52"/>
    </row>
    <row r="55" spans="1:31" ht="30" x14ac:dyDescent="0.2">
      <c r="A55" s="320"/>
      <c r="B55" s="68" t="s">
        <v>219</v>
      </c>
      <c r="C55" s="9">
        <v>4</v>
      </c>
      <c r="D55" s="9" t="s">
        <v>14</v>
      </c>
      <c r="E55" s="11" t="s">
        <v>220</v>
      </c>
      <c r="F55" s="10" t="s">
        <v>221</v>
      </c>
      <c r="G55" s="9" t="s">
        <v>222</v>
      </c>
      <c r="H55" s="53"/>
    </row>
    <row r="56" spans="1:31" ht="16.5" thickBot="1" x14ac:dyDescent="0.25">
      <c r="A56" s="321"/>
      <c r="B56" s="70" t="s">
        <v>223</v>
      </c>
      <c r="C56" s="5">
        <v>4</v>
      </c>
      <c r="D56" s="5" t="s">
        <v>14</v>
      </c>
      <c r="E56" s="7" t="s">
        <v>224</v>
      </c>
      <c r="F56" s="6" t="s">
        <v>225</v>
      </c>
      <c r="G56" s="5" t="s">
        <v>226</v>
      </c>
      <c r="H56" s="36"/>
      <c r="I56" s="4"/>
      <c r="M56" s="4"/>
      <c r="N56" s="4"/>
      <c r="O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30" x14ac:dyDescent="0.2">
      <c r="A57" s="313" t="s">
        <v>227</v>
      </c>
      <c r="B57" s="71" t="s">
        <v>228</v>
      </c>
      <c r="C57" s="55">
        <v>5</v>
      </c>
      <c r="D57" s="55" t="s">
        <v>14</v>
      </c>
      <c r="E57" s="54" t="s">
        <v>229</v>
      </c>
      <c r="F57" s="56" t="s">
        <v>230</v>
      </c>
      <c r="G57" s="55" t="s">
        <v>231</v>
      </c>
      <c r="H57" s="57"/>
      <c r="I57" s="4"/>
      <c r="M57" s="4"/>
      <c r="N57" s="4"/>
      <c r="O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5.75" x14ac:dyDescent="0.2">
      <c r="A58" s="314"/>
      <c r="B58" s="58" t="s">
        <v>232</v>
      </c>
      <c r="C58" s="9">
        <v>4</v>
      </c>
      <c r="D58" s="9" t="s">
        <v>14</v>
      </c>
      <c r="E58" s="11" t="s">
        <v>233</v>
      </c>
      <c r="F58" s="10" t="s">
        <v>234</v>
      </c>
      <c r="G58" s="9" t="s">
        <v>235</v>
      </c>
      <c r="H58" s="53"/>
    </row>
    <row r="59" spans="1:31" ht="15.75" x14ac:dyDescent="0.2">
      <c r="A59" s="314"/>
      <c r="B59" s="63" t="s">
        <v>236</v>
      </c>
      <c r="C59" s="9">
        <v>4</v>
      </c>
      <c r="D59" s="9" t="s">
        <v>14</v>
      </c>
      <c r="E59" s="11" t="s">
        <v>237</v>
      </c>
      <c r="F59" s="10" t="s">
        <v>238</v>
      </c>
      <c r="G59" s="9" t="s">
        <v>239</v>
      </c>
      <c r="H59" s="53"/>
    </row>
    <row r="60" spans="1:31" ht="15.75" x14ac:dyDescent="0.2">
      <c r="A60" s="314"/>
      <c r="B60" s="63" t="s">
        <v>240</v>
      </c>
      <c r="C60" s="9">
        <v>4</v>
      </c>
      <c r="D60" s="9" t="s">
        <v>14</v>
      </c>
      <c r="E60" s="11" t="s">
        <v>241</v>
      </c>
      <c r="F60" s="10" t="s">
        <v>242</v>
      </c>
      <c r="G60" s="9" t="s">
        <v>243</v>
      </c>
      <c r="H60" s="8"/>
      <c r="I60" s="4"/>
      <c r="M60" s="4"/>
      <c r="N60" s="4"/>
      <c r="O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6.5" thickBot="1" x14ac:dyDescent="0.25">
      <c r="A61" s="315"/>
      <c r="B61" s="70" t="s">
        <v>244</v>
      </c>
      <c r="C61" s="5">
        <v>3</v>
      </c>
      <c r="D61" s="5" t="s">
        <v>14</v>
      </c>
      <c r="E61" s="7" t="s">
        <v>245</v>
      </c>
      <c r="F61" s="6" t="s">
        <v>238</v>
      </c>
      <c r="G61" s="5" t="s">
        <v>246</v>
      </c>
      <c r="H61" s="36"/>
      <c r="I61" s="4"/>
      <c r="M61" s="4"/>
      <c r="N61" s="4"/>
      <c r="O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3" spans="1:31" ht="47.25" x14ac:dyDescent="0.2">
      <c r="A63" s="89" t="s">
        <v>247</v>
      </c>
      <c r="B63" s="1">
        <v>411</v>
      </c>
      <c r="C63" s="90">
        <v>18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">
      <c r="B64" s="1" t="s">
        <v>248</v>
      </c>
    </row>
    <row r="65" spans="18:31" ht="15.75" x14ac:dyDescent="0.2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</sheetData>
  <mergeCells count="11">
    <mergeCell ref="A57:A61"/>
    <mergeCell ref="B1:H1"/>
    <mergeCell ref="A18:A22"/>
    <mergeCell ref="A31:A41"/>
    <mergeCell ref="A42:A46"/>
    <mergeCell ref="A47:A49"/>
    <mergeCell ref="A53:A56"/>
    <mergeCell ref="A4:A8"/>
    <mergeCell ref="A9:A17"/>
    <mergeCell ref="A23:A30"/>
    <mergeCell ref="A50:A52"/>
  </mergeCells>
  <hyperlinks>
    <hyperlink ref="H25" r:id="rId1" display="mailto:daniela.garces@R-HR.COM" xr:uid="{00000000-0004-0000-0000-000000000000}"/>
    <hyperlink ref="H27" r:id="rId2" display="luisa.bernal@movichhotels.com- : Luisa Fernanda Bernal – ext. 190" xr:uid="{00000000-0004-0000-0000-000001000000}"/>
    <hyperlink ref="H28" r:id="rId3" display="mailto:amv@hoteltorredecali.com" xr:uid="{00000000-0004-0000-0000-000002000000}"/>
    <hyperlink ref="H29" r:id="rId4" display="mailto:reservas@spiwak.com" xr:uid="{00000000-0004-0000-0000-000003000000}"/>
  </hyperlinks>
  <pageMargins left="0" right="0" top="0" bottom="0" header="0" footer="0"/>
  <pageSetup paperSize="9" scale="66" firstPageNumber="0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opLeftCell="A4" zoomScaleNormal="100" workbookViewId="0">
      <selection activeCell="K22" sqref="K22"/>
    </sheetView>
  </sheetViews>
  <sheetFormatPr baseColWidth="10" defaultColWidth="10.85546875" defaultRowHeight="12.75" x14ac:dyDescent="0.2"/>
  <cols>
    <col min="1" max="1" width="23.42578125" style="83" customWidth="1"/>
    <col min="2" max="2" width="15.42578125" style="83" customWidth="1"/>
    <col min="3" max="3" width="5.42578125" style="83" customWidth="1"/>
    <col min="4" max="4" width="23.42578125" style="83" customWidth="1"/>
    <col min="5" max="5" width="15.42578125" style="83" customWidth="1"/>
    <col min="6" max="6" width="5.42578125" style="83" customWidth="1"/>
    <col min="7" max="7" width="23.42578125" style="83" customWidth="1"/>
    <col min="8" max="8" width="15.42578125" style="83" customWidth="1"/>
    <col min="9" max="10" width="10.85546875" style="83"/>
    <col min="11" max="11" width="16.140625" style="83" bestFit="1" customWidth="1"/>
    <col min="12" max="12" width="20.85546875" style="83" customWidth="1"/>
    <col min="13" max="16384" width="10.85546875" style="83"/>
  </cols>
  <sheetData>
    <row r="1" spans="1:8" ht="15.75" thickBot="1" x14ac:dyDescent="0.25">
      <c r="A1" s="325" t="s">
        <v>249</v>
      </c>
      <c r="B1" s="326"/>
      <c r="D1" s="325" t="s">
        <v>250</v>
      </c>
      <c r="E1" s="326"/>
      <c r="G1" s="325" t="s">
        <v>251</v>
      </c>
      <c r="H1" s="326"/>
    </row>
    <row r="2" spans="1:8" x14ac:dyDescent="0.2">
      <c r="A2" s="72" t="s">
        <v>252</v>
      </c>
      <c r="B2" s="73">
        <v>19828</v>
      </c>
      <c r="D2" s="72" t="s">
        <v>252</v>
      </c>
      <c r="E2" s="73">
        <v>19682</v>
      </c>
      <c r="G2" s="72" t="s">
        <v>252</v>
      </c>
      <c r="H2" s="73">
        <v>19828</v>
      </c>
    </row>
    <row r="3" spans="1:8" x14ac:dyDescent="0.2">
      <c r="A3" s="72" t="s">
        <v>253</v>
      </c>
      <c r="B3" s="73">
        <v>35247</v>
      </c>
      <c r="D3" s="72" t="s">
        <v>253</v>
      </c>
      <c r="E3" s="73">
        <v>35247</v>
      </c>
      <c r="G3" s="72" t="s">
        <v>253</v>
      </c>
      <c r="H3" s="73">
        <v>41707</v>
      </c>
    </row>
    <row r="4" spans="1:8" x14ac:dyDescent="0.2">
      <c r="A4" s="72" t="s">
        <v>254</v>
      </c>
      <c r="B4" s="73">
        <v>35247</v>
      </c>
      <c r="D4" s="72" t="s">
        <v>254</v>
      </c>
      <c r="E4" s="73">
        <v>35247</v>
      </c>
      <c r="G4" s="72" t="s">
        <v>254</v>
      </c>
      <c r="H4" s="73">
        <v>41707</v>
      </c>
    </row>
    <row r="5" spans="1:8" x14ac:dyDescent="0.2">
      <c r="A5" s="74" t="s">
        <v>255</v>
      </c>
      <c r="B5" s="73">
        <v>230000</v>
      </c>
      <c r="D5" s="74" t="s">
        <v>255</v>
      </c>
      <c r="E5" s="73">
        <v>278400</v>
      </c>
      <c r="G5" s="74" t="s">
        <v>255</v>
      </c>
      <c r="H5" s="73">
        <v>251980</v>
      </c>
    </row>
    <row r="6" spans="1:8" x14ac:dyDescent="0.2">
      <c r="A6" s="72" t="s">
        <v>256</v>
      </c>
      <c r="B6" s="73">
        <v>16626</v>
      </c>
      <c r="D6" s="72" t="s">
        <v>256</v>
      </c>
      <c r="E6" s="73">
        <v>28348</v>
      </c>
      <c r="G6" s="72" t="s">
        <v>256</v>
      </c>
      <c r="H6" s="73">
        <v>28348</v>
      </c>
    </row>
    <row r="7" spans="1:8" ht="38.25" x14ac:dyDescent="0.2">
      <c r="A7" s="74" t="s">
        <v>257</v>
      </c>
      <c r="B7" s="73">
        <v>128032</v>
      </c>
      <c r="D7" s="74" t="s">
        <v>258</v>
      </c>
      <c r="E7" s="73">
        <v>138758</v>
      </c>
      <c r="G7" s="74" t="s">
        <v>259</v>
      </c>
      <c r="H7" s="73">
        <v>51110</v>
      </c>
    </row>
    <row r="8" spans="1:8" ht="39" thickBot="1" x14ac:dyDescent="0.25">
      <c r="A8" s="75" t="s">
        <v>260</v>
      </c>
      <c r="B8" s="76">
        <v>20410</v>
      </c>
      <c r="D8" s="79" t="s">
        <v>261</v>
      </c>
      <c r="E8" s="80">
        <v>128031</v>
      </c>
      <c r="G8" s="79"/>
      <c r="H8" s="80"/>
    </row>
    <row r="9" spans="1:8" ht="13.5" thickBot="1" x14ac:dyDescent="0.25">
      <c r="A9" s="77" t="s">
        <v>262</v>
      </c>
      <c r="B9" s="78">
        <f>SUM(B2:B8)</f>
        <v>485390</v>
      </c>
      <c r="D9" s="81" t="s">
        <v>262</v>
      </c>
      <c r="E9" s="82">
        <f>SUM(E2:E8)</f>
        <v>663713</v>
      </c>
      <c r="G9" s="81" t="s">
        <v>262</v>
      </c>
      <c r="H9" s="82">
        <f>SUM(H2:H8)</f>
        <v>434680</v>
      </c>
    </row>
    <row r="10" spans="1:8" ht="17.25" customHeight="1" x14ac:dyDescent="0.2"/>
    <row r="11" spans="1:8" ht="13.5" thickBot="1" x14ac:dyDescent="0.25"/>
    <row r="12" spans="1:8" ht="15.75" thickBot="1" x14ac:dyDescent="0.25">
      <c r="A12" s="325" t="s">
        <v>263</v>
      </c>
      <c r="B12" s="326"/>
      <c r="D12" s="325" t="s">
        <v>250</v>
      </c>
      <c r="E12" s="326"/>
      <c r="G12" s="325" t="s">
        <v>264</v>
      </c>
      <c r="H12" s="326"/>
    </row>
    <row r="13" spans="1:8" x14ac:dyDescent="0.2">
      <c r="A13" s="72" t="s">
        <v>252</v>
      </c>
      <c r="B13" s="73">
        <v>15715</v>
      </c>
      <c r="D13" s="72" t="s">
        <v>252</v>
      </c>
      <c r="E13" s="73">
        <v>19682</v>
      </c>
      <c r="G13" s="72" t="s">
        <v>252</v>
      </c>
      <c r="H13" s="73">
        <v>19828</v>
      </c>
    </row>
    <row r="14" spans="1:8" x14ac:dyDescent="0.2">
      <c r="A14" s="72" t="s">
        <v>253</v>
      </c>
      <c r="B14" s="73">
        <v>29814</v>
      </c>
      <c r="D14" s="72" t="s">
        <v>253</v>
      </c>
      <c r="E14" s="73">
        <v>35247</v>
      </c>
      <c r="G14" s="72" t="s">
        <v>253</v>
      </c>
      <c r="H14" s="73">
        <v>43176</v>
      </c>
    </row>
    <row r="15" spans="1:8" x14ac:dyDescent="0.2">
      <c r="A15" s="72" t="s">
        <v>254</v>
      </c>
      <c r="B15" s="73">
        <v>29824</v>
      </c>
      <c r="D15" s="72" t="s">
        <v>254</v>
      </c>
      <c r="E15" s="73">
        <v>35247</v>
      </c>
      <c r="G15" s="72" t="s">
        <v>254</v>
      </c>
      <c r="H15" s="73">
        <v>43176</v>
      </c>
    </row>
    <row r="16" spans="1:8" x14ac:dyDescent="0.2">
      <c r="A16" s="74" t="s">
        <v>255</v>
      </c>
      <c r="B16" s="73">
        <v>254000</v>
      </c>
      <c r="D16" s="74" t="s">
        <v>255</v>
      </c>
      <c r="E16" s="73">
        <v>278400</v>
      </c>
      <c r="G16" s="74" t="s">
        <v>255</v>
      </c>
      <c r="H16" s="73"/>
    </row>
    <row r="17" spans="1:8" x14ac:dyDescent="0.2">
      <c r="A17" s="72" t="s">
        <v>256</v>
      </c>
      <c r="B17" s="73">
        <v>17038</v>
      </c>
      <c r="D17" s="72" t="s">
        <v>256</v>
      </c>
      <c r="E17" s="73">
        <v>28348</v>
      </c>
      <c r="G17" s="72" t="s">
        <v>256</v>
      </c>
      <c r="H17" s="73">
        <v>18065</v>
      </c>
    </row>
    <row r="18" spans="1:8" ht="38.25" x14ac:dyDescent="0.2">
      <c r="A18" s="74" t="s">
        <v>265</v>
      </c>
      <c r="B18" s="73">
        <v>23508</v>
      </c>
      <c r="D18" s="74" t="s">
        <v>258</v>
      </c>
      <c r="E18" s="73">
        <v>138758</v>
      </c>
      <c r="G18" s="74" t="s">
        <v>266</v>
      </c>
      <c r="H18" s="73">
        <v>37306</v>
      </c>
    </row>
    <row r="19" spans="1:8" ht="39" thickBot="1" x14ac:dyDescent="0.25">
      <c r="A19" s="75" t="s">
        <v>260</v>
      </c>
      <c r="B19" s="76">
        <v>20410</v>
      </c>
      <c r="D19" s="79" t="s">
        <v>261</v>
      </c>
      <c r="E19" s="80">
        <v>128031</v>
      </c>
      <c r="G19" s="79" t="s">
        <v>261</v>
      </c>
      <c r="H19" s="80">
        <v>128031</v>
      </c>
    </row>
    <row r="20" spans="1:8" ht="13.5" thickBot="1" x14ac:dyDescent="0.25">
      <c r="A20" s="81" t="s">
        <v>262</v>
      </c>
      <c r="B20" s="82">
        <f>SUM(B13:B19)</f>
        <v>390309</v>
      </c>
      <c r="D20" s="81" t="s">
        <v>262</v>
      </c>
      <c r="E20" s="82">
        <f>SUM(E13:E19)</f>
        <v>663713</v>
      </c>
      <c r="G20" s="81" t="s">
        <v>262</v>
      </c>
      <c r="H20" s="82">
        <f>SUM(H13:H19)</f>
        <v>289582</v>
      </c>
    </row>
    <row r="21" spans="1:8" ht="13.5" thickBot="1" x14ac:dyDescent="0.25"/>
    <row r="22" spans="1:8" ht="15.75" thickBot="1" x14ac:dyDescent="0.25">
      <c r="A22" s="325" t="s">
        <v>267</v>
      </c>
      <c r="B22" s="326"/>
      <c r="D22" s="325" t="s">
        <v>268</v>
      </c>
      <c r="E22" s="326"/>
      <c r="G22" s="325" t="s">
        <v>269</v>
      </c>
      <c r="H22" s="326"/>
    </row>
    <row r="23" spans="1:8" x14ac:dyDescent="0.2">
      <c r="A23" s="72" t="s">
        <v>252</v>
      </c>
      <c r="B23" s="73">
        <v>20563</v>
      </c>
      <c r="D23" s="72" t="s">
        <v>252</v>
      </c>
      <c r="E23" s="73">
        <v>15715</v>
      </c>
      <c r="G23" s="72" t="s">
        <v>252</v>
      </c>
      <c r="H23" s="73">
        <v>15715</v>
      </c>
    </row>
    <row r="24" spans="1:8" x14ac:dyDescent="0.2">
      <c r="A24" s="72" t="s">
        <v>253</v>
      </c>
      <c r="B24" s="73">
        <v>35247</v>
      </c>
      <c r="D24" s="72" t="s">
        <v>253</v>
      </c>
      <c r="E24" s="73">
        <v>29814</v>
      </c>
      <c r="G24" s="72" t="s">
        <v>253</v>
      </c>
      <c r="H24" s="73">
        <v>28052</v>
      </c>
    </row>
    <row r="25" spans="1:8" x14ac:dyDescent="0.2">
      <c r="A25" s="72" t="s">
        <v>254</v>
      </c>
      <c r="B25" s="73">
        <v>35247</v>
      </c>
      <c r="D25" s="72" t="s">
        <v>254</v>
      </c>
      <c r="E25" s="73">
        <v>29814</v>
      </c>
      <c r="G25" s="72" t="s">
        <v>254</v>
      </c>
      <c r="H25" s="73">
        <v>28052</v>
      </c>
    </row>
    <row r="26" spans="1:8" x14ac:dyDescent="0.2">
      <c r="A26" s="74" t="s">
        <v>255</v>
      </c>
      <c r="B26" s="73">
        <v>225000</v>
      </c>
      <c r="D26" s="74" t="s">
        <v>255</v>
      </c>
      <c r="E26" s="73">
        <v>256976</v>
      </c>
      <c r="G26" s="74" t="s">
        <v>255</v>
      </c>
      <c r="H26" s="73">
        <v>160000</v>
      </c>
    </row>
    <row r="27" spans="1:8" x14ac:dyDescent="0.2">
      <c r="A27" s="72" t="s">
        <v>256</v>
      </c>
      <c r="B27" s="73">
        <v>18065</v>
      </c>
      <c r="D27" s="72" t="s">
        <v>256</v>
      </c>
      <c r="E27" s="73">
        <v>12632</v>
      </c>
      <c r="G27" s="72" t="s">
        <v>256</v>
      </c>
      <c r="H27" s="73">
        <v>12778</v>
      </c>
    </row>
    <row r="28" spans="1:8" ht="38.25" x14ac:dyDescent="0.2">
      <c r="A28" s="74" t="s">
        <v>270</v>
      </c>
      <c r="B28" s="73">
        <v>67262</v>
      </c>
      <c r="D28" s="74" t="s">
        <v>271</v>
      </c>
      <c r="E28" s="73">
        <v>69272</v>
      </c>
      <c r="G28" s="74" t="s">
        <v>272</v>
      </c>
      <c r="H28" s="73">
        <v>28202</v>
      </c>
    </row>
    <row r="29" spans="1:8" ht="39" thickBot="1" x14ac:dyDescent="0.25">
      <c r="A29" s="79" t="s">
        <v>261</v>
      </c>
      <c r="B29" s="76">
        <v>128031</v>
      </c>
      <c r="D29" s="75" t="s">
        <v>260</v>
      </c>
      <c r="E29" s="76">
        <v>20410</v>
      </c>
      <c r="G29" s="75" t="s">
        <v>260</v>
      </c>
      <c r="H29" s="76">
        <v>20410</v>
      </c>
    </row>
    <row r="30" spans="1:8" ht="13.5" thickBot="1" x14ac:dyDescent="0.25">
      <c r="A30" s="81" t="s">
        <v>262</v>
      </c>
      <c r="B30" s="82">
        <f>SUM(B23:B29)</f>
        <v>529415</v>
      </c>
      <c r="D30" s="81" t="s">
        <v>262</v>
      </c>
      <c r="E30" s="82">
        <f>SUM(E23:E29)</f>
        <v>434633</v>
      </c>
      <c r="G30" s="81" t="s">
        <v>262</v>
      </c>
      <c r="H30" s="82">
        <f>SUM(H23:H29)</f>
        <v>293209</v>
      </c>
    </row>
    <row r="31" spans="1:8" ht="13.5" thickBot="1" x14ac:dyDescent="0.25"/>
    <row r="32" spans="1:8" ht="15.75" thickBot="1" x14ac:dyDescent="0.25">
      <c r="A32" s="325" t="s">
        <v>273</v>
      </c>
      <c r="B32" s="326"/>
      <c r="D32" s="325" t="s">
        <v>274</v>
      </c>
      <c r="E32" s="326"/>
      <c r="G32" s="325" t="s">
        <v>275</v>
      </c>
      <c r="H32" s="326"/>
    </row>
    <row r="33" spans="1:8" x14ac:dyDescent="0.2">
      <c r="A33" s="72" t="s">
        <v>252</v>
      </c>
      <c r="B33" s="73">
        <v>15715</v>
      </c>
      <c r="D33" s="72" t="s">
        <v>252</v>
      </c>
      <c r="E33" s="73">
        <v>14982</v>
      </c>
      <c r="G33" s="72" t="s">
        <v>252</v>
      </c>
      <c r="H33" s="73">
        <v>8317</v>
      </c>
    </row>
    <row r="34" spans="1:8" x14ac:dyDescent="0.2">
      <c r="A34" s="72" t="s">
        <v>253</v>
      </c>
      <c r="B34" s="73">
        <v>28052</v>
      </c>
      <c r="D34" s="72" t="s">
        <v>253</v>
      </c>
      <c r="E34" s="73">
        <v>25996</v>
      </c>
      <c r="G34" s="72" t="s">
        <v>253</v>
      </c>
      <c r="H34" s="73">
        <v>28052</v>
      </c>
    </row>
    <row r="35" spans="1:8" x14ac:dyDescent="0.2">
      <c r="A35" s="72" t="s">
        <v>254</v>
      </c>
      <c r="B35" s="73">
        <v>28052</v>
      </c>
      <c r="D35" s="72" t="s">
        <v>254</v>
      </c>
      <c r="E35" s="73">
        <v>25996</v>
      </c>
      <c r="G35" s="72" t="s">
        <v>254</v>
      </c>
      <c r="H35" s="73">
        <v>28052</v>
      </c>
    </row>
    <row r="36" spans="1:8" x14ac:dyDescent="0.2">
      <c r="A36" s="74" t="s">
        <v>255</v>
      </c>
      <c r="B36" s="73">
        <v>199000</v>
      </c>
      <c r="D36" s="74" t="s">
        <v>255</v>
      </c>
      <c r="E36" s="73">
        <v>160205</v>
      </c>
      <c r="G36" s="74" t="s">
        <v>255</v>
      </c>
      <c r="H36" s="73">
        <v>239744</v>
      </c>
    </row>
    <row r="37" spans="1:8" x14ac:dyDescent="0.2">
      <c r="A37" s="72" t="s">
        <v>256</v>
      </c>
      <c r="B37" s="73">
        <v>24940</v>
      </c>
      <c r="D37" s="72" t="s">
        <v>256</v>
      </c>
      <c r="E37" s="73">
        <v>9503</v>
      </c>
      <c r="G37" s="72" t="s">
        <v>256</v>
      </c>
      <c r="H37" s="73">
        <v>10395</v>
      </c>
    </row>
    <row r="38" spans="1:8" ht="38.25" x14ac:dyDescent="0.2">
      <c r="A38" s="74" t="s">
        <v>276</v>
      </c>
      <c r="B38" s="73">
        <v>52650</v>
      </c>
      <c r="D38" s="74" t="s">
        <v>277</v>
      </c>
      <c r="E38" s="73">
        <v>30258</v>
      </c>
      <c r="G38" s="74" t="s">
        <v>278</v>
      </c>
      <c r="H38" s="73">
        <v>77586</v>
      </c>
    </row>
    <row r="39" spans="1:8" ht="39" thickBot="1" x14ac:dyDescent="0.25">
      <c r="A39" s="75" t="s">
        <v>260</v>
      </c>
      <c r="B39" s="76">
        <v>20410</v>
      </c>
      <c r="D39" s="79" t="s">
        <v>261</v>
      </c>
      <c r="E39" s="80">
        <v>128031</v>
      </c>
      <c r="G39" s="79" t="s">
        <v>261</v>
      </c>
      <c r="H39" s="80">
        <v>128031</v>
      </c>
    </row>
    <row r="40" spans="1:8" ht="13.5" thickBot="1" x14ac:dyDescent="0.25">
      <c r="A40" s="77" t="s">
        <v>262</v>
      </c>
      <c r="B40" s="78">
        <f>SUM(B33:B39)</f>
        <v>368819</v>
      </c>
      <c r="D40" s="81" t="s">
        <v>262</v>
      </c>
      <c r="E40" s="82">
        <f>SUM(E33:E39)</f>
        <v>394971</v>
      </c>
      <c r="G40" s="81" t="s">
        <v>262</v>
      </c>
      <c r="H40" s="82">
        <f>SUM(H33:H39)</f>
        <v>520177</v>
      </c>
    </row>
    <row r="41" spans="1:8" ht="13.5" thickBot="1" x14ac:dyDescent="0.25"/>
    <row r="42" spans="1:8" ht="15.75" thickBot="1" x14ac:dyDescent="0.25">
      <c r="A42" s="325" t="s">
        <v>279</v>
      </c>
      <c r="B42" s="326"/>
      <c r="D42" s="325" t="s">
        <v>280</v>
      </c>
      <c r="E42" s="326"/>
      <c r="G42" s="325" t="s">
        <v>281</v>
      </c>
      <c r="H42" s="326"/>
    </row>
    <row r="43" spans="1:8" x14ac:dyDescent="0.2">
      <c r="A43" s="72" t="s">
        <v>252</v>
      </c>
      <c r="B43" s="73">
        <v>15715</v>
      </c>
      <c r="D43" s="72" t="s">
        <v>252</v>
      </c>
      <c r="E43" s="73">
        <v>15715</v>
      </c>
      <c r="G43" s="72" t="s">
        <v>252</v>
      </c>
      <c r="H43" s="73">
        <v>16158</v>
      </c>
    </row>
    <row r="44" spans="1:8" x14ac:dyDescent="0.2">
      <c r="A44" s="72" t="s">
        <v>253</v>
      </c>
      <c r="B44" s="73">
        <v>28052</v>
      </c>
      <c r="D44" s="72" t="s">
        <v>253</v>
      </c>
      <c r="E44" s="73">
        <v>28052</v>
      </c>
      <c r="G44" s="72" t="s">
        <v>253</v>
      </c>
      <c r="H44" s="73">
        <v>28052</v>
      </c>
    </row>
    <row r="45" spans="1:8" x14ac:dyDescent="0.2">
      <c r="A45" s="72" t="s">
        <v>254</v>
      </c>
      <c r="B45" s="73">
        <v>28052</v>
      </c>
      <c r="D45" s="72" t="s">
        <v>254</v>
      </c>
      <c r="E45" s="73">
        <v>28052</v>
      </c>
      <c r="G45" s="72" t="s">
        <v>254</v>
      </c>
      <c r="H45" s="73">
        <v>28052</v>
      </c>
    </row>
    <row r="46" spans="1:8" x14ac:dyDescent="0.2">
      <c r="A46" s="74" t="s">
        <v>255</v>
      </c>
      <c r="B46" s="73">
        <v>151212</v>
      </c>
      <c r="D46" s="74" t="s">
        <v>255</v>
      </c>
      <c r="E46" s="73">
        <v>169904</v>
      </c>
      <c r="G46" s="74" t="s">
        <v>255</v>
      </c>
      <c r="H46" s="73">
        <v>113270</v>
      </c>
    </row>
    <row r="47" spans="1:8" x14ac:dyDescent="0.2">
      <c r="A47" s="72" t="s">
        <v>256</v>
      </c>
      <c r="B47" s="73">
        <v>15422</v>
      </c>
      <c r="D47" s="72" t="s">
        <v>256</v>
      </c>
      <c r="E47" s="73">
        <v>14248</v>
      </c>
      <c r="G47" s="72" t="s">
        <v>256</v>
      </c>
      <c r="H47" s="73">
        <v>12338</v>
      </c>
    </row>
    <row r="48" spans="1:8" ht="38.25" x14ac:dyDescent="0.2">
      <c r="A48" s="74" t="s">
        <v>282</v>
      </c>
      <c r="B48" s="73">
        <v>25556</v>
      </c>
      <c r="D48" s="74" t="s">
        <v>283</v>
      </c>
      <c r="E48" s="73">
        <v>44060</v>
      </c>
      <c r="G48" s="74" t="s">
        <v>284</v>
      </c>
      <c r="H48" s="73">
        <f>12926+12926</f>
        <v>25852</v>
      </c>
    </row>
    <row r="49" spans="1:8" ht="39" thickBot="1" x14ac:dyDescent="0.25">
      <c r="A49" s="79" t="s">
        <v>261</v>
      </c>
      <c r="B49" s="80">
        <v>128031</v>
      </c>
      <c r="D49" s="79" t="s">
        <v>261</v>
      </c>
      <c r="E49" s="80">
        <v>128031</v>
      </c>
      <c r="G49" s="79" t="s">
        <v>261</v>
      </c>
      <c r="H49" s="80">
        <v>128031</v>
      </c>
    </row>
    <row r="50" spans="1:8" ht="13.5" thickBot="1" x14ac:dyDescent="0.25">
      <c r="A50" s="81" t="s">
        <v>262</v>
      </c>
      <c r="B50" s="82">
        <f>SUM(B43:B49)</f>
        <v>392040</v>
      </c>
      <c r="D50" s="81" t="s">
        <v>262</v>
      </c>
      <c r="E50" s="82">
        <f>SUM(E43:E49)</f>
        <v>428062</v>
      </c>
      <c r="G50" s="81" t="s">
        <v>262</v>
      </c>
      <c r="H50" s="82">
        <f>SUM(H43:H49)</f>
        <v>351753</v>
      </c>
    </row>
  </sheetData>
  <mergeCells count="15">
    <mergeCell ref="G32:H32"/>
    <mergeCell ref="G42:H42"/>
    <mergeCell ref="G12:H12"/>
    <mergeCell ref="A12:B12"/>
    <mergeCell ref="D32:E32"/>
    <mergeCell ref="A42:B42"/>
    <mergeCell ref="D42:E42"/>
    <mergeCell ref="A32:B32"/>
    <mergeCell ref="D1:E1"/>
    <mergeCell ref="G1:H1"/>
    <mergeCell ref="D22:E22"/>
    <mergeCell ref="G22:H22"/>
    <mergeCell ref="A1:B1"/>
    <mergeCell ref="A22:B22"/>
    <mergeCell ref="D12:E12"/>
  </mergeCells>
  <pageMargins left="1.1811023622047245" right="1.1811023622047245" top="0" bottom="0" header="0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topLeftCell="B1" workbookViewId="0">
      <selection activeCell="B6" sqref="B6"/>
    </sheetView>
  </sheetViews>
  <sheetFormatPr baseColWidth="10" defaultColWidth="11.42578125" defaultRowHeight="12.75" x14ac:dyDescent="0.2"/>
  <cols>
    <col min="1" max="1" width="30.85546875" hidden="1" customWidth="1"/>
    <col min="2" max="2" width="22" customWidth="1"/>
    <col min="3" max="3" width="17.85546875" style="208" customWidth="1"/>
    <col min="4" max="4" width="12.140625" style="208" customWidth="1"/>
    <col min="5" max="5" width="17.42578125" style="208" customWidth="1"/>
    <col min="6" max="6" width="15.140625" style="208" customWidth="1"/>
    <col min="7" max="7" width="14.140625" style="208" customWidth="1"/>
    <col min="8" max="8" width="20.85546875" style="208" customWidth="1"/>
    <col min="9" max="9" width="13.85546875" customWidth="1"/>
    <col min="10" max="10" width="12" customWidth="1"/>
    <col min="11" max="11" width="12.85546875" customWidth="1"/>
    <col min="12" max="12" width="13.140625" customWidth="1"/>
    <col min="13" max="13" width="12.85546875" customWidth="1"/>
    <col min="14" max="14" width="14.140625" style="208" customWidth="1"/>
    <col min="15" max="16" width="15.42578125" customWidth="1"/>
    <col min="17" max="17" width="19.140625" customWidth="1"/>
  </cols>
  <sheetData>
    <row r="1" spans="1:15" ht="29.85" customHeight="1" x14ac:dyDescent="0.2">
      <c r="A1" s="207"/>
      <c r="B1" s="330" t="s">
        <v>285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9.85" customHeight="1" x14ac:dyDescent="0.2">
      <c r="A2" s="207"/>
      <c r="B2" s="338" t="s">
        <v>286</v>
      </c>
      <c r="C2" s="328" t="s">
        <v>287</v>
      </c>
      <c r="D2" s="328" t="s">
        <v>288</v>
      </c>
      <c r="E2" s="334" t="s">
        <v>289</v>
      </c>
      <c r="F2" s="334" t="s">
        <v>290</v>
      </c>
      <c r="G2" s="328" t="s">
        <v>291</v>
      </c>
      <c r="H2" s="328" t="s">
        <v>292</v>
      </c>
      <c r="I2" s="336" t="s">
        <v>293</v>
      </c>
      <c r="J2" s="336"/>
      <c r="K2" s="332" t="s">
        <v>294</v>
      </c>
      <c r="L2" s="337" t="s">
        <v>295</v>
      </c>
      <c r="M2" s="336"/>
      <c r="N2" s="332" t="s">
        <v>296</v>
      </c>
      <c r="O2" s="327" t="s">
        <v>297</v>
      </c>
    </row>
    <row r="3" spans="1:15" ht="32.1" customHeight="1" x14ac:dyDescent="0.2">
      <c r="B3" s="339"/>
      <c r="C3" s="329"/>
      <c r="D3" s="329"/>
      <c r="E3" s="335"/>
      <c r="F3" s="335"/>
      <c r="G3" s="329"/>
      <c r="H3" s="329"/>
      <c r="I3" s="221" t="s">
        <v>298</v>
      </c>
      <c r="J3" s="221" t="s">
        <v>299</v>
      </c>
      <c r="K3" s="333"/>
      <c r="L3" s="222" t="s">
        <v>300</v>
      </c>
      <c r="M3" s="223" t="s">
        <v>301</v>
      </c>
      <c r="N3" s="333"/>
      <c r="O3" s="327"/>
    </row>
    <row r="4" spans="1:15" ht="22.7" customHeight="1" x14ac:dyDescent="0.2">
      <c r="B4" s="228" t="s">
        <v>302</v>
      </c>
      <c r="C4" s="214">
        <v>199000</v>
      </c>
      <c r="D4" s="224">
        <f>+C4*14</f>
        <v>2786000</v>
      </c>
      <c r="E4" s="215">
        <v>35000</v>
      </c>
      <c r="F4" s="215">
        <v>35000</v>
      </c>
      <c r="G4" s="225">
        <f>(+E4+F4)*(14)</f>
        <v>980000</v>
      </c>
      <c r="H4" s="225">
        <f>+D4+G4</f>
        <v>3766000</v>
      </c>
      <c r="I4" s="215">
        <v>310000</v>
      </c>
      <c r="J4" s="215">
        <f>+I4*(19%)+I4</f>
        <v>368900</v>
      </c>
      <c r="K4" s="216">
        <f>+J4*14</f>
        <v>5164600</v>
      </c>
      <c r="L4" s="215">
        <f>35000*14</f>
        <v>490000</v>
      </c>
      <c r="M4" s="215">
        <f>35000*14</f>
        <v>490000</v>
      </c>
      <c r="N4" s="216">
        <f>+L4+M4</f>
        <v>980000</v>
      </c>
      <c r="O4" s="230">
        <f>+K4+N4</f>
        <v>6144600</v>
      </c>
    </row>
    <row r="5" spans="1:15" ht="21.2" customHeight="1" x14ac:dyDescent="0.2">
      <c r="B5" s="229" t="s">
        <v>303</v>
      </c>
      <c r="C5" s="214">
        <v>230000</v>
      </c>
      <c r="D5" s="224">
        <f t="shared" ref="D5:D6" si="0">+C5*14</f>
        <v>3220000</v>
      </c>
      <c r="E5" s="215" t="s">
        <v>304</v>
      </c>
      <c r="F5" s="215" t="s">
        <v>304</v>
      </c>
      <c r="G5" s="225">
        <f>(30000+30000)*(14)</f>
        <v>840000</v>
      </c>
      <c r="H5" s="225">
        <f t="shared" ref="H5:H6" si="1">+D5+G5</f>
        <v>4060000</v>
      </c>
      <c r="I5" s="215">
        <v>257000</v>
      </c>
      <c r="J5" s="215">
        <f>+I5*(19%)+I5</f>
        <v>305830</v>
      </c>
      <c r="K5" s="216">
        <f t="shared" ref="K5:K6" si="2">+J5*14</f>
        <v>4281620</v>
      </c>
      <c r="L5" s="215">
        <f>30000*14</f>
        <v>420000</v>
      </c>
      <c r="M5" s="215">
        <f>30000*14</f>
        <v>420000</v>
      </c>
      <c r="N5" s="216">
        <f t="shared" ref="N5:N6" si="3">+L5+M5</f>
        <v>840000</v>
      </c>
      <c r="O5" s="230">
        <f t="shared" ref="O5:O6" si="4">+K5+N5</f>
        <v>5121620</v>
      </c>
    </row>
    <row r="6" spans="1:15" ht="23.1" customHeight="1" x14ac:dyDescent="0.2">
      <c r="B6" s="228" t="s">
        <v>305</v>
      </c>
      <c r="C6" s="214">
        <v>202300</v>
      </c>
      <c r="D6" s="224">
        <f t="shared" si="0"/>
        <v>2832200</v>
      </c>
      <c r="E6" s="217" t="s">
        <v>306</v>
      </c>
      <c r="F6" s="217" t="s">
        <v>306</v>
      </c>
      <c r="G6" s="225">
        <f>(25000+25000)*(14)</f>
        <v>700000</v>
      </c>
      <c r="H6" s="225">
        <f t="shared" si="1"/>
        <v>3532200</v>
      </c>
      <c r="I6" s="215">
        <v>238000</v>
      </c>
      <c r="J6" s="215">
        <f>+I6*(19%)+I6</f>
        <v>283220</v>
      </c>
      <c r="K6" s="216">
        <f t="shared" si="2"/>
        <v>3965080</v>
      </c>
      <c r="L6" s="215">
        <f>25000*14</f>
        <v>350000</v>
      </c>
      <c r="M6" s="215">
        <f>25000*14</f>
        <v>350000</v>
      </c>
      <c r="N6" s="216">
        <f t="shared" si="3"/>
        <v>700000</v>
      </c>
      <c r="O6" s="230">
        <f t="shared" si="4"/>
        <v>4665080</v>
      </c>
    </row>
    <row r="7" spans="1:15" ht="12.95" customHeight="1" x14ac:dyDescent="0.2">
      <c r="B7" s="210"/>
      <c r="C7" s="209"/>
      <c r="D7"/>
      <c r="E7" s="211"/>
      <c r="F7" s="211"/>
      <c r="G7" s="211"/>
      <c r="H7" s="209"/>
      <c r="I7" s="211"/>
      <c r="J7" s="209"/>
      <c r="K7" s="209"/>
      <c r="L7" s="209"/>
      <c r="M7" s="209"/>
      <c r="N7" s="212"/>
      <c r="O7" s="213"/>
    </row>
    <row r="8" spans="1:15" ht="22.7" customHeight="1" x14ac:dyDescent="0.2">
      <c r="C8"/>
      <c r="D8" s="227">
        <f>SUM(D4:D7)</f>
        <v>8838200</v>
      </c>
      <c r="E8" s="218"/>
      <c r="F8" s="218"/>
      <c r="G8" s="226">
        <f>+G4+G5+G6</f>
        <v>2520000</v>
      </c>
      <c r="H8" s="226">
        <f>+H4+H5+H6</f>
        <v>11358200</v>
      </c>
      <c r="I8" s="83"/>
      <c r="J8" s="83"/>
      <c r="K8" s="219">
        <f>SUM(K4:K7)</f>
        <v>13411300</v>
      </c>
      <c r="L8" s="83"/>
      <c r="M8" s="83"/>
      <c r="N8" s="220">
        <f>SUM(N4:N7)</f>
        <v>2520000</v>
      </c>
      <c r="O8" s="231">
        <f>SUM(O4:O7)</f>
        <v>15931300</v>
      </c>
    </row>
    <row r="9" spans="1:15" x14ac:dyDescent="0.2">
      <c r="N9"/>
    </row>
  </sheetData>
  <mergeCells count="13">
    <mergeCell ref="O2:O3"/>
    <mergeCell ref="D2:D3"/>
    <mergeCell ref="B1:O1"/>
    <mergeCell ref="G2:G3"/>
    <mergeCell ref="H2:H3"/>
    <mergeCell ref="N2:N3"/>
    <mergeCell ref="E2:E3"/>
    <mergeCell ref="F2:F3"/>
    <mergeCell ref="K2:K3"/>
    <mergeCell ref="I2:J2"/>
    <mergeCell ref="L2:M2"/>
    <mergeCell ref="B2:B3"/>
    <mergeCell ref="C2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7"/>
  <sheetViews>
    <sheetView showGridLines="0" tabSelected="1" zoomScale="80" zoomScaleNormal="80" workbookViewId="0">
      <selection activeCell="E19" sqref="E19"/>
    </sheetView>
  </sheetViews>
  <sheetFormatPr baseColWidth="10" defaultColWidth="10.85546875" defaultRowHeight="12.75" x14ac:dyDescent="0.2"/>
  <cols>
    <col min="1" max="1" width="33.5703125" style="253" customWidth="1"/>
    <col min="2" max="2" width="18.85546875" style="253" customWidth="1"/>
    <col min="3" max="3" width="8.85546875" style="253" customWidth="1"/>
    <col min="4" max="4" width="34.5703125" style="253" customWidth="1"/>
    <col min="5" max="5" width="18.85546875" style="253" customWidth="1"/>
    <col min="6" max="6" width="8.85546875" style="253" customWidth="1"/>
    <col min="7" max="7" width="33.5703125" style="253" customWidth="1"/>
    <col min="8" max="8" width="18.85546875" style="253" customWidth="1"/>
    <col min="9" max="9" width="8.85546875" style="253" customWidth="1"/>
    <col min="10" max="10" width="33.5703125" style="253" customWidth="1"/>
    <col min="11" max="11" width="18.85546875" style="253" customWidth="1"/>
    <col min="12" max="12" width="8.85546875" style="253" customWidth="1"/>
    <col min="13" max="13" width="33.5703125" style="253" customWidth="1"/>
    <col min="14" max="14" width="18.85546875" style="253" customWidth="1"/>
    <col min="15" max="15" width="8.85546875" style="253" customWidth="1"/>
    <col min="16" max="16" width="33.5703125" style="253" customWidth="1"/>
    <col min="17" max="17" width="18.85546875" style="253" customWidth="1"/>
    <col min="18" max="18" width="15.85546875" style="253" customWidth="1"/>
    <col min="19" max="16384" width="10.85546875" style="253"/>
  </cols>
  <sheetData>
    <row r="1" spans="1:18" ht="26.45" customHeight="1" thickBot="1" x14ac:dyDescent="0.25"/>
    <row r="2" spans="1:18" ht="21.95" customHeight="1" thickBot="1" x14ac:dyDescent="0.25">
      <c r="A2" s="340" t="s">
        <v>251</v>
      </c>
      <c r="B2" s="341"/>
      <c r="D2" s="340" t="s">
        <v>307</v>
      </c>
      <c r="E2" s="341"/>
      <c r="G2" s="340" t="s">
        <v>249</v>
      </c>
      <c r="H2" s="341"/>
      <c r="J2" s="340" t="s">
        <v>263</v>
      </c>
      <c r="K2" s="341"/>
      <c r="M2" s="340" t="s">
        <v>308</v>
      </c>
      <c r="N2" s="341"/>
      <c r="P2" s="340" t="s">
        <v>280</v>
      </c>
      <c r="Q2" s="341"/>
    </row>
    <row r="3" spans="1:18" ht="17.100000000000001" customHeight="1" x14ac:dyDescent="0.2">
      <c r="A3" s="266" t="s">
        <v>252</v>
      </c>
      <c r="B3" s="310">
        <v>20600</v>
      </c>
      <c r="D3" s="311" t="s">
        <v>252</v>
      </c>
      <c r="E3" s="312">
        <v>20500</v>
      </c>
      <c r="G3" s="257" t="s">
        <v>252</v>
      </c>
      <c r="H3" s="255">
        <v>17000</v>
      </c>
      <c r="J3" s="257" t="s">
        <v>252</v>
      </c>
      <c r="K3" s="255">
        <v>16300</v>
      </c>
      <c r="M3" s="257" t="s">
        <v>252</v>
      </c>
      <c r="N3" s="255">
        <v>16500</v>
      </c>
      <c r="P3" s="257" t="s">
        <v>252</v>
      </c>
      <c r="Q3" s="255">
        <v>18000</v>
      </c>
    </row>
    <row r="4" spans="1:18" ht="17.100000000000001" customHeight="1" x14ac:dyDescent="0.2">
      <c r="A4" s="267" t="s">
        <v>253</v>
      </c>
      <c r="B4" s="255">
        <v>43400</v>
      </c>
      <c r="D4" s="257" t="s">
        <v>253</v>
      </c>
      <c r="E4" s="272">
        <v>36700</v>
      </c>
      <c r="G4" s="257" t="s">
        <v>253</v>
      </c>
      <c r="H4" s="255">
        <v>36700</v>
      </c>
      <c r="J4" s="257" t="s">
        <v>253</v>
      </c>
      <c r="K4" s="255">
        <v>31000</v>
      </c>
      <c r="M4" s="257" t="s">
        <v>253</v>
      </c>
      <c r="N4" s="255">
        <v>29200</v>
      </c>
      <c r="P4" s="257" t="s">
        <v>253</v>
      </c>
      <c r="Q4" s="255">
        <v>36000</v>
      </c>
    </row>
    <row r="5" spans="1:18" ht="17.100000000000001" customHeight="1" x14ac:dyDescent="0.2">
      <c r="A5" s="267" t="s">
        <v>254</v>
      </c>
      <c r="B5" s="255">
        <v>43400</v>
      </c>
      <c r="D5" s="257" t="s">
        <v>254</v>
      </c>
      <c r="E5" s="272">
        <v>36700</v>
      </c>
      <c r="G5" s="257" t="s">
        <v>254</v>
      </c>
      <c r="H5" s="255">
        <v>36700</v>
      </c>
      <c r="J5" s="257" t="s">
        <v>254</v>
      </c>
      <c r="K5" s="255">
        <v>31000</v>
      </c>
      <c r="M5" s="257" t="s">
        <v>254</v>
      </c>
      <c r="N5" s="255">
        <v>29200</v>
      </c>
      <c r="P5" s="257" t="s">
        <v>254</v>
      </c>
      <c r="Q5" s="255">
        <v>36000</v>
      </c>
    </row>
    <row r="6" spans="1:18" ht="17.100000000000001" customHeight="1" x14ac:dyDescent="0.2">
      <c r="A6" s="268" t="s">
        <v>255</v>
      </c>
      <c r="B6" s="255">
        <v>220000</v>
      </c>
      <c r="D6" s="254" t="s">
        <v>255</v>
      </c>
      <c r="E6" s="255">
        <v>177448</v>
      </c>
      <c r="G6" s="254" t="s">
        <v>255</v>
      </c>
      <c r="H6" s="255">
        <v>190000</v>
      </c>
      <c r="J6" s="254" t="s">
        <v>255</v>
      </c>
      <c r="K6" s="255">
        <v>175000</v>
      </c>
      <c r="M6" s="254" t="s">
        <v>255</v>
      </c>
      <c r="N6" s="255">
        <v>148329</v>
      </c>
      <c r="P6" s="254" t="s">
        <v>255</v>
      </c>
      <c r="Q6" s="255">
        <v>180000</v>
      </c>
    </row>
    <row r="7" spans="1:18" ht="17.100000000000001" customHeight="1" x14ac:dyDescent="0.2">
      <c r="A7" s="267" t="s">
        <v>256</v>
      </c>
      <c r="B7" s="255">
        <v>37200</v>
      </c>
      <c r="D7" s="257" t="s">
        <v>256</v>
      </c>
      <c r="E7" s="272">
        <v>30600</v>
      </c>
      <c r="G7" s="257" t="s">
        <v>256</v>
      </c>
      <c r="H7" s="272">
        <v>17600</v>
      </c>
      <c r="J7" s="257" t="s">
        <v>256</v>
      </c>
      <c r="K7" s="272">
        <v>18400</v>
      </c>
      <c r="M7" s="257" t="s">
        <v>256</v>
      </c>
      <c r="N7" s="272">
        <v>19500</v>
      </c>
      <c r="P7" s="257" t="s">
        <v>256</v>
      </c>
      <c r="Q7" s="277">
        <v>22800</v>
      </c>
      <c r="R7" s="256"/>
    </row>
    <row r="8" spans="1:18" ht="33.6" customHeight="1" x14ac:dyDescent="0.2">
      <c r="A8" s="268" t="s">
        <v>309</v>
      </c>
      <c r="B8" s="255">
        <f>30000*2</f>
        <v>60000</v>
      </c>
      <c r="D8" s="273" t="s">
        <v>310</v>
      </c>
      <c r="E8" s="255">
        <v>75000</v>
      </c>
      <c r="G8" s="268" t="s">
        <v>503</v>
      </c>
      <c r="H8" s="255">
        <f>69000*2</f>
        <v>138000</v>
      </c>
      <c r="J8" s="254" t="s">
        <v>311</v>
      </c>
      <c r="K8" s="255">
        <f>12700*2</f>
        <v>25400</v>
      </c>
      <c r="M8" s="254" t="s">
        <v>518</v>
      </c>
      <c r="N8" s="255">
        <f>28200*2</f>
        <v>56400</v>
      </c>
      <c r="P8" s="254" t="s">
        <v>521</v>
      </c>
      <c r="Q8" s="255">
        <f>22900*2</f>
        <v>45800</v>
      </c>
      <c r="R8" s="256"/>
    </row>
    <row r="9" spans="1:18" ht="30.2" customHeight="1" x14ac:dyDescent="0.2">
      <c r="A9" s="268" t="s">
        <v>503</v>
      </c>
      <c r="B9" s="255">
        <f>69000*2</f>
        <v>138000</v>
      </c>
      <c r="D9" s="254" t="s">
        <v>508</v>
      </c>
      <c r="E9" s="255">
        <f>75000*2</f>
        <v>150000</v>
      </c>
      <c r="G9" s="254" t="s">
        <v>513</v>
      </c>
      <c r="H9" s="255">
        <f>10600*2</f>
        <v>21200</v>
      </c>
      <c r="J9" s="268" t="s">
        <v>503</v>
      </c>
      <c r="K9" s="255">
        <f>69000*2</f>
        <v>138000</v>
      </c>
      <c r="M9" s="254" t="s">
        <v>503</v>
      </c>
      <c r="N9" s="255">
        <f>69000*2</f>
        <v>138000</v>
      </c>
      <c r="P9" s="254" t="s">
        <v>503</v>
      </c>
      <c r="Q9" s="255">
        <f>69000*2</f>
        <v>138000</v>
      </c>
      <c r="R9" s="256"/>
    </row>
    <row r="10" spans="1:18" ht="29.45" customHeight="1" thickBot="1" x14ac:dyDescent="0.25">
      <c r="A10" s="269" t="s">
        <v>504</v>
      </c>
      <c r="B10" s="274">
        <f>10600*2</f>
        <v>21200</v>
      </c>
      <c r="D10" s="268" t="s">
        <v>503</v>
      </c>
      <c r="E10" s="255">
        <f>69000*2</f>
        <v>138000</v>
      </c>
      <c r="G10" s="276" t="s">
        <v>502</v>
      </c>
      <c r="H10" s="274">
        <v>88700</v>
      </c>
      <c r="J10" s="254" t="s">
        <v>513</v>
      </c>
      <c r="K10" s="255">
        <f>10600*2</f>
        <v>21200</v>
      </c>
      <c r="M10" s="265" t="s">
        <v>513</v>
      </c>
      <c r="N10" s="274">
        <f>10600*2</f>
        <v>21200</v>
      </c>
      <c r="P10" s="254" t="s">
        <v>522</v>
      </c>
      <c r="Q10" s="255">
        <f>31100*2</f>
        <v>62200</v>
      </c>
      <c r="R10" s="256"/>
    </row>
    <row r="11" spans="1:18" ht="28.35" customHeight="1" thickBot="1" x14ac:dyDescent="0.25">
      <c r="A11" s="258" t="s">
        <v>262</v>
      </c>
      <c r="B11" s="275">
        <f>SUM(B3:B10)</f>
        <v>583800</v>
      </c>
      <c r="D11" s="258" t="s">
        <v>262</v>
      </c>
      <c r="E11" s="275">
        <f>SUM(E3:E10)</f>
        <v>664948</v>
      </c>
      <c r="G11" s="258" t="s">
        <v>262</v>
      </c>
      <c r="H11" s="259">
        <f>SUM(H3:H9)</f>
        <v>457200</v>
      </c>
      <c r="J11" s="265" t="s">
        <v>515</v>
      </c>
      <c r="K11" s="274">
        <f>84900*2</f>
        <v>169800</v>
      </c>
      <c r="M11" s="258" t="s">
        <v>262</v>
      </c>
      <c r="N11" s="259">
        <f>SUM(N3:N10)</f>
        <v>458329</v>
      </c>
      <c r="P11" s="261" t="s">
        <v>262</v>
      </c>
      <c r="Q11" s="262">
        <f>SUM(Q3:Q10)</f>
        <v>538800</v>
      </c>
      <c r="R11" s="256"/>
    </row>
    <row r="12" spans="1:18" ht="24.95" customHeight="1" thickBot="1" x14ac:dyDescent="0.25">
      <c r="J12" s="258" t="s">
        <v>262</v>
      </c>
      <c r="K12" s="259">
        <f>SUM(K3:K10)</f>
        <v>456300</v>
      </c>
    </row>
    <row r="13" spans="1:18" ht="16.350000000000001" customHeight="1" thickBot="1" x14ac:dyDescent="0.25"/>
    <row r="14" spans="1:18" ht="21.95" customHeight="1" thickBot="1" x14ac:dyDescent="0.25">
      <c r="A14" s="340" t="s">
        <v>267</v>
      </c>
      <c r="B14" s="341"/>
      <c r="D14" s="340" t="s">
        <v>264</v>
      </c>
      <c r="E14" s="341"/>
      <c r="G14" s="340" t="s">
        <v>269</v>
      </c>
      <c r="H14" s="341"/>
      <c r="J14" s="340" t="s">
        <v>312</v>
      </c>
      <c r="K14" s="341"/>
      <c r="M14" s="340" t="s">
        <v>279</v>
      </c>
      <c r="N14" s="341"/>
      <c r="P14" s="340" t="s">
        <v>313</v>
      </c>
      <c r="Q14" s="341"/>
    </row>
    <row r="15" spans="1:18" ht="17.100000000000001" customHeight="1" x14ac:dyDescent="0.2">
      <c r="A15" s="257" t="s">
        <v>252</v>
      </c>
      <c r="B15" s="255">
        <v>18000</v>
      </c>
      <c r="D15" s="257" t="s">
        <v>252</v>
      </c>
      <c r="E15" s="255">
        <v>19800</v>
      </c>
      <c r="G15" s="257" t="s">
        <v>252</v>
      </c>
      <c r="H15" s="255">
        <v>15700</v>
      </c>
      <c r="J15" s="257" t="s">
        <v>252</v>
      </c>
      <c r="K15" s="255">
        <v>15700</v>
      </c>
      <c r="M15" s="257" t="s">
        <v>252</v>
      </c>
      <c r="N15" s="255">
        <v>15700</v>
      </c>
      <c r="P15" s="257" t="s">
        <v>252</v>
      </c>
      <c r="Q15" s="255">
        <v>18000</v>
      </c>
    </row>
    <row r="16" spans="1:18" ht="17.100000000000001" customHeight="1" x14ac:dyDescent="0.2">
      <c r="A16" s="257" t="s">
        <v>253</v>
      </c>
      <c r="B16" s="255">
        <v>36700</v>
      </c>
      <c r="D16" s="257" t="s">
        <v>253</v>
      </c>
      <c r="E16" s="255">
        <v>43200</v>
      </c>
      <c r="G16" s="257" t="s">
        <v>253</v>
      </c>
      <c r="H16" s="255">
        <v>29800</v>
      </c>
      <c r="J16" s="257" t="s">
        <v>253</v>
      </c>
      <c r="K16" s="255">
        <v>28000</v>
      </c>
      <c r="M16" s="257" t="s">
        <v>253</v>
      </c>
      <c r="N16" s="255">
        <v>28000</v>
      </c>
      <c r="P16" s="257" t="s">
        <v>253</v>
      </c>
      <c r="Q16" s="255">
        <v>33000</v>
      </c>
    </row>
    <row r="17" spans="1:18" ht="17.100000000000001" customHeight="1" x14ac:dyDescent="0.2">
      <c r="A17" s="257" t="s">
        <v>254</v>
      </c>
      <c r="B17" s="255">
        <v>36700</v>
      </c>
      <c r="D17" s="257" t="s">
        <v>254</v>
      </c>
      <c r="E17" s="255">
        <v>43200</v>
      </c>
      <c r="G17" s="257" t="s">
        <v>254</v>
      </c>
      <c r="H17" s="255">
        <v>29800</v>
      </c>
      <c r="J17" s="257" t="s">
        <v>254</v>
      </c>
      <c r="K17" s="255">
        <v>28000</v>
      </c>
      <c r="M17" s="257" t="s">
        <v>254</v>
      </c>
      <c r="N17" s="255">
        <v>28000</v>
      </c>
      <c r="P17" s="257" t="s">
        <v>254</v>
      </c>
      <c r="Q17" s="255">
        <v>33000</v>
      </c>
    </row>
    <row r="18" spans="1:18" ht="17.100000000000001" customHeight="1" x14ac:dyDescent="0.2">
      <c r="A18" s="254" t="s">
        <v>255</v>
      </c>
      <c r="B18" s="255">
        <v>177448</v>
      </c>
      <c r="D18" s="254" t="s">
        <v>255</v>
      </c>
      <c r="E18" s="255">
        <v>220000</v>
      </c>
      <c r="G18" s="254" t="s">
        <v>255</v>
      </c>
      <c r="H18" s="255">
        <v>160000</v>
      </c>
      <c r="J18" s="254" t="s">
        <v>255</v>
      </c>
      <c r="K18" s="255">
        <v>160000</v>
      </c>
      <c r="M18" s="254" t="s">
        <v>255</v>
      </c>
      <c r="N18" s="255">
        <v>157397</v>
      </c>
      <c r="P18" s="254" t="s">
        <v>255</v>
      </c>
      <c r="Q18" s="255">
        <v>220000</v>
      </c>
    </row>
    <row r="19" spans="1:18" ht="17.100000000000001" customHeight="1" x14ac:dyDescent="0.2">
      <c r="A19" s="257" t="s">
        <v>256</v>
      </c>
      <c r="B19" s="255">
        <v>19500</v>
      </c>
      <c r="D19" s="257" t="s">
        <v>256</v>
      </c>
      <c r="E19" s="255">
        <v>29000</v>
      </c>
      <c r="G19" s="257" t="s">
        <v>256</v>
      </c>
      <c r="H19" s="272">
        <v>16600</v>
      </c>
      <c r="J19" s="257" t="s">
        <v>256</v>
      </c>
      <c r="K19" s="272">
        <v>16600</v>
      </c>
      <c r="M19" s="257" t="s">
        <v>256</v>
      </c>
      <c r="N19" s="255">
        <v>16008</v>
      </c>
      <c r="P19" s="257" t="s">
        <v>256</v>
      </c>
      <c r="Q19" s="272">
        <v>15400</v>
      </c>
      <c r="R19" s="256"/>
    </row>
    <row r="20" spans="1:18" ht="28.35" customHeight="1" x14ac:dyDescent="0.2">
      <c r="A20" s="254" t="s">
        <v>505</v>
      </c>
      <c r="B20" s="255">
        <f>36400*2</f>
        <v>72800</v>
      </c>
      <c r="D20" s="254" t="s">
        <v>509</v>
      </c>
      <c r="E20" s="255">
        <f>20800*2</f>
        <v>41600</v>
      </c>
      <c r="G20" s="254" t="s">
        <v>511</v>
      </c>
      <c r="H20" s="255">
        <f>14600*2</f>
        <v>29200</v>
      </c>
      <c r="J20" s="254" t="s">
        <v>516</v>
      </c>
      <c r="K20" s="255">
        <f>16300*2</f>
        <v>32600</v>
      </c>
      <c r="M20" s="254" t="s">
        <v>519</v>
      </c>
      <c r="N20" s="255">
        <f>13300*2</f>
        <v>26600</v>
      </c>
      <c r="P20" s="254" t="s">
        <v>523</v>
      </c>
      <c r="Q20" s="255">
        <f>12900*2</f>
        <v>25800</v>
      </c>
      <c r="R20" s="256"/>
    </row>
    <row r="21" spans="1:18" ht="26.85" customHeight="1" x14ac:dyDescent="0.2">
      <c r="A21" s="268" t="s">
        <v>503</v>
      </c>
      <c r="B21" s="255">
        <f>69000*2</f>
        <v>138000</v>
      </c>
      <c r="D21" s="254" t="s">
        <v>503</v>
      </c>
      <c r="E21" s="255">
        <f>69000*2</f>
        <v>138000</v>
      </c>
      <c r="G21" s="254" t="s">
        <v>512</v>
      </c>
      <c r="H21" s="255">
        <f>45000*2</f>
        <v>90000</v>
      </c>
      <c r="J21" s="254" t="s">
        <v>503</v>
      </c>
      <c r="K21" s="255">
        <f>69000*2</f>
        <v>138000</v>
      </c>
      <c r="M21" s="254" t="s">
        <v>503</v>
      </c>
      <c r="N21" s="255">
        <f>69000*2</f>
        <v>138000</v>
      </c>
      <c r="P21" s="254" t="s">
        <v>503</v>
      </c>
      <c r="Q21" s="255">
        <f>69000*2</f>
        <v>138000</v>
      </c>
      <c r="R21" s="256"/>
    </row>
    <row r="22" spans="1:18" ht="30.75" customHeight="1" thickBot="1" x14ac:dyDescent="0.25">
      <c r="A22" s="269" t="s">
        <v>504</v>
      </c>
      <c r="B22" s="255">
        <f>10600*2</f>
        <v>21200</v>
      </c>
      <c r="D22" s="254" t="s">
        <v>513</v>
      </c>
      <c r="E22" s="255">
        <f>10600*2</f>
        <v>21200</v>
      </c>
      <c r="G22" s="254" t="s">
        <v>513</v>
      </c>
      <c r="H22" s="255">
        <f>10600*2</f>
        <v>21200</v>
      </c>
      <c r="J22" s="254" t="s">
        <v>513</v>
      </c>
      <c r="K22" s="255">
        <f>10600*2</f>
        <v>21200</v>
      </c>
      <c r="M22" s="254" t="s">
        <v>513</v>
      </c>
      <c r="N22" s="255">
        <f>10600*2</f>
        <v>21200</v>
      </c>
      <c r="P22" s="271" t="s">
        <v>262</v>
      </c>
      <c r="Q22" s="262">
        <f ca="1">SUM(Q15:Q22)</f>
        <v>483534</v>
      </c>
      <c r="R22" s="256"/>
    </row>
    <row r="23" spans="1:18" ht="30.75" customHeight="1" thickBot="1" x14ac:dyDescent="0.25">
      <c r="A23" s="258" t="s">
        <v>262</v>
      </c>
      <c r="B23" s="275">
        <f>SUM(B15:B22)</f>
        <v>520348</v>
      </c>
      <c r="D23" s="258" t="s">
        <v>262</v>
      </c>
      <c r="E23" s="275">
        <f>SUM(E15:E22)</f>
        <v>556000</v>
      </c>
      <c r="G23" s="258" t="s">
        <v>262</v>
      </c>
      <c r="H23" s="275">
        <f>SUM(H15:H21)</f>
        <v>371100</v>
      </c>
      <c r="J23" s="258" t="s">
        <v>262</v>
      </c>
      <c r="K23" s="275">
        <f>SUM(K15:K22)</f>
        <v>440100</v>
      </c>
      <c r="M23" s="258" t="s">
        <v>262</v>
      </c>
      <c r="N23" s="259">
        <f>SUM(N15:N22)</f>
        <v>430905</v>
      </c>
      <c r="R23" s="260"/>
    </row>
    <row r="24" spans="1:18" ht="20.25" customHeight="1" x14ac:dyDescent="0.2">
      <c r="R24" s="256"/>
    </row>
    <row r="25" spans="1:18" ht="13.5" thickBot="1" x14ac:dyDescent="0.25">
      <c r="R25" s="256"/>
    </row>
    <row r="26" spans="1:18" ht="21.95" customHeight="1" thickBot="1" x14ac:dyDescent="0.25">
      <c r="A26" s="340" t="s">
        <v>268</v>
      </c>
      <c r="B26" s="341"/>
      <c r="C26" s="270"/>
      <c r="D26" s="340" t="s">
        <v>314</v>
      </c>
      <c r="E26" s="341"/>
      <c r="F26" s="270"/>
      <c r="G26" s="340" t="s">
        <v>273</v>
      </c>
      <c r="H26" s="341"/>
      <c r="I26" s="270"/>
      <c r="J26" s="340" t="s">
        <v>275</v>
      </c>
      <c r="K26" s="341"/>
      <c r="L26" s="270"/>
      <c r="M26" s="340" t="s">
        <v>315</v>
      </c>
      <c r="N26" s="341"/>
      <c r="O26" s="270"/>
      <c r="P26" s="340" t="s">
        <v>316</v>
      </c>
      <c r="Q26" s="341"/>
      <c r="R26" s="256"/>
    </row>
    <row r="27" spans="1:18" ht="17.100000000000001" customHeight="1" x14ac:dyDescent="0.2">
      <c r="A27" s="257" t="s">
        <v>252</v>
      </c>
      <c r="B27" s="255">
        <v>16000</v>
      </c>
      <c r="C27" s="256"/>
      <c r="D27" s="257" t="s">
        <v>252</v>
      </c>
      <c r="E27" s="255">
        <v>16300</v>
      </c>
      <c r="F27" s="256"/>
      <c r="G27" s="257" t="s">
        <v>252</v>
      </c>
      <c r="H27" s="255">
        <v>15700</v>
      </c>
      <c r="I27" s="256"/>
      <c r="J27" s="257" t="s">
        <v>252</v>
      </c>
      <c r="K27" s="255">
        <v>14000</v>
      </c>
      <c r="L27" s="256"/>
      <c r="M27" s="257" t="s">
        <v>252</v>
      </c>
      <c r="N27" s="255">
        <v>15600</v>
      </c>
      <c r="O27" s="256"/>
      <c r="P27" s="257" t="s">
        <v>252</v>
      </c>
      <c r="Q27" s="255">
        <v>16500</v>
      </c>
      <c r="R27" s="256"/>
    </row>
    <row r="28" spans="1:18" ht="17.100000000000001" customHeight="1" x14ac:dyDescent="0.2">
      <c r="A28" s="257" t="s">
        <v>253</v>
      </c>
      <c r="B28" s="255">
        <v>29800</v>
      </c>
      <c r="C28" s="256"/>
      <c r="D28" s="257" t="s">
        <v>253</v>
      </c>
      <c r="E28" s="255">
        <v>29200</v>
      </c>
      <c r="F28" s="256"/>
      <c r="G28" s="257" t="s">
        <v>253</v>
      </c>
      <c r="H28" s="255">
        <v>28000</v>
      </c>
      <c r="I28" s="256"/>
      <c r="J28" s="257" t="s">
        <v>253</v>
      </c>
      <c r="K28" s="255">
        <v>28000</v>
      </c>
      <c r="L28" s="256"/>
      <c r="M28" s="257" t="s">
        <v>253</v>
      </c>
      <c r="N28" s="255">
        <v>27000</v>
      </c>
      <c r="O28" s="256"/>
      <c r="P28" s="257" t="s">
        <v>253</v>
      </c>
      <c r="Q28" s="255">
        <v>29200</v>
      </c>
      <c r="R28" s="256"/>
    </row>
    <row r="29" spans="1:18" ht="17.100000000000001" customHeight="1" x14ac:dyDescent="0.2">
      <c r="A29" s="257" t="s">
        <v>254</v>
      </c>
      <c r="B29" s="255">
        <v>29800</v>
      </c>
      <c r="C29" s="256"/>
      <c r="D29" s="257" t="s">
        <v>254</v>
      </c>
      <c r="E29" s="255">
        <v>29200</v>
      </c>
      <c r="F29" s="256"/>
      <c r="G29" s="257" t="s">
        <v>254</v>
      </c>
      <c r="H29" s="255">
        <v>28000</v>
      </c>
      <c r="I29" s="256"/>
      <c r="J29" s="257" t="s">
        <v>254</v>
      </c>
      <c r="K29" s="255">
        <v>28000</v>
      </c>
      <c r="L29" s="256"/>
      <c r="M29" s="257" t="s">
        <v>254</v>
      </c>
      <c r="N29" s="255">
        <v>27000</v>
      </c>
      <c r="O29" s="256"/>
      <c r="P29" s="257" t="s">
        <v>254</v>
      </c>
      <c r="Q29" s="255">
        <v>29200</v>
      </c>
      <c r="R29" s="256"/>
    </row>
    <row r="30" spans="1:18" ht="17.100000000000001" customHeight="1" x14ac:dyDescent="0.2">
      <c r="A30" s="254" t="s">
        <v>255</v>
      </c>
      <c r="B30" s="255">
        <v>160000</v>
      </c>
      <c r="C30" s="256"/>
      <c r="D30" s="254" t="s">
        <v>255</v>
      </c>
      <c r="E30" s="255">
        <v>157397</v>
      </c>
      <c r="F30" s="256"/>
      <c r="G30" s="254" t="s">
        <v>255</v>
      </c>
      <c r="H30" s="255">
        <v>180000</v>
      </c>
      <c r="I30" s="256"/>
      <c r="J30" s="254" t="s">
        <v>255</v>
      </c>
      <c r="K30" s="255">
        <v>180000</v>
      </c>
      <c r="L30" s="256"/>
      <c r="M30" s="254" t="s">
        <v>255</v>
      </c>
      <c r="N30" s="255">
        <v>147158</v>
      </c>
      <c r="O30" s="256"/>
      <c r="P30" s="254" t="s">
        <v>255</v>
      </c>
      <c r="Q30" s="255">
        <v>220000</v>
      </c>
      <c r="R30" s="256"/>
    </row>
    <row r="31" spans="1:18" ht="17.100000000000001" customHeight="1" x14ac:dyDescent="0.2">
      <c r="A31" s="257" t="s">
        <v>256</v>
      </c>
      <c r="B31" s="255">
        <v>18700</v>
      </c>
      <c r="C31" s="256"/>
      <c r="D31" s="257" t="s">
        <v>256</v>
      </c>
      <c r="E31" s="255">
        <v>13800</v>
      </c>
      <c r="F31" s="256"/>
      <c r="G31" s="257" t="s">
        <v>256</v>
      </c>
      <c r="H31" s="255">
        <v>25900</v>
      </c>
      <c r="I31" s="256"/>
      <c r="J31" s="257" t="s">
        <v>256</v>
      </c>
      <c r="K31" s="255">
        <v>14532</v>
      </c>
      <c r="L31" s="256"/>
      <c r="M31" s="257" t="s">
        <v>256</v>
      </c>
      <c r="N31" s="255">
        <v>19200</v>
      </c>
      <c r="O31" s="256"/>
      <c r="P31" s="257" t="s">
        <v>256</v>
      </c>
      <c r="Q31" s="272">
        <v>15400</v>
      </c>
      <c r="R31" s="256"/>
    </row>
    <row r="32" spans="1:18" ht="28.35" customHeight="1" x14ac:dyDescent="0.2">
      <c r="A32" s="254" t="s">
        <v>506</v>
      </c>
      <c r="B32" s="255">
        <f>35900*2</f>
        <v>71800</v>
      </c>
      <c r="C32" s="256"/>
      <c r="D32" s="254" t="s">
        <v>510</v>
      </c>
      <c r="E32" s="255">
        <f>15200*2</f>
        <v>30400</v>
      </c>
      <c r="F32" s="256"/>
      <c r="G32" s="254" t="s">
        <v>514</v>
      </c>
      <c r="H32" s="255">
        <f>27300*2</f>
        <v>54600</v>
      </c>
      <c r="I32" s="256"/>
      <c r="J32" s="254" t="s">
        <v>517</v>
      </c>
      <c r="K32" s="255">
        <f>40200*2</f>
        <v>80400</v>
      </c>
      <c r="L32" s="256"/>
      <c r="M32" s="254" t="s">
        <v>520</v>
      </c>
      <c r="N32" s="255">
        <f>31100*2</f>
        <v>62200</v>
      </c>
      <c r="O32" s="256"/>
      <c r="P32" s="254" t="s">
        <v>524</v>
      </c>
      <c r="Q32" s="255">
        <f>12900*2</f>
        <v>25800</v>
      </c>
      <c r="R32" s="256"/>
    </row>
    <row r="33" spans="1:18" ht="28.35" customHeight="1" thickBot="1" x14ac:dyDescent="0.25">
      <c r="A33" s="254" t="s">
        <v>503</v>
      </c>
      <c r="B33" s="255">
        <f>69000*2</f>
        <v>138000</v>
      </c>
      <c r="C33" s="256"/>
      <c r="D33" s="254" t="s">
        <v>503</v>
      </c>
      <c r="E33" s="255">
        <f>69000*2</f>
        <v>138000</v>
      </c>
      <c r="F33" s="256"/>
      <c r="G33" s="254" t="s">
        <v>525</v>
      </c>
      <c r="H33" s="255">
        <f>34700*2</f>
        <v>69400</v>
      </c>
      <c r="I33" s="256"/>
      <c r="J33" s="254" t="s">
        <v>503</v>
      </c>
      <c r="K33" s="255">
        <f>69000*2</f>
        <v>138000</v>
      </c>
      <c r="L33" s="256"/>
      <c r="M33" s="254" t="s">
        <v>503</v>
      </c>
      <c r="N33" s="255">
        <f>69000*2</f>
        <v>138000</v>
      </c>
      <c r="O33" s="256"/>
      <c r="P33" s="254" t="s">
        <v>503</v>
      </c>
      <c r="Q33" s="255">
        <f>69000*2</f>
        <v>138000</v>
      </c>
      <c r="R33" s="256"/>
    </row>
    <row r="34" spans="1:18" ht="26.85" customHeight="1" thickBot="1" x14ac:dyDescent="0.25">
      <c r="A34" s="258" t="s">
        <v>262</v>
      </c>
      <c r="B34" s="275">
        <f ca="1">SUM(B27:B34)</f>
        <v>464100</v>
      </c>
      <c r="C34" s="256"/>
      <c r="D34" s="254" t="s">
        <v>513</v>
      </c>
      <c r="E34" s="255">
        <f>10600*2</f>
        <v>21200</v>
      </c>
      <c r="F34" s="256"/>
      <c r="G34" s="254" t="s">
        <v>513</v>
      </c>
      <c r="H34" s="255">
        <f>10600*2</f>
        <v>21200</v>
      </c>
      <c r="I34" s="256"/>
      <c r="J34" s="254" t="s">
        <v>513</v>
      </c>
      <c r="K34" s="255">
        <f>10600*2</f>
        <v>21200</v>
      </c>
      <c r="L34" s="256"/>
      <c r="M34" s="254" t="s">
        <v>513</v>
      </c>
      <c r="N34" s="255">
        <f>10600*2</f>
        <v>21200</v>
      </c>
      <c r="O34" s="256"/>
      <c r="P34" s="271" t="s">
        <v>262</v>
      </c>
      <c r="Q34" s="262">
        <f ca="1">SUM(Q27:Q34)</f>
        <v>474100</v>
      </c>
      <c r="R34" s="256"/>
    </row>
    <row r="35" spans="1:18" ht="25.5" customHeight="1" thickBot="1" x14ac:dyDescent="0.25">
      <c r="C35" s="260"/>
      <c r="D35" s="258" t="s">
        <v>262</v>
      </c>
      <c r="E35" s="275">
        <f>SUM(E27:E34)</f>
        <v>435497</v>
      </c>
      <c r="F35" s="260"/>
      <c r="G35" s="258" t="s">
        <v>262</v>
      </c>
      <c r="H35" s="275">
        <f>SUM(H27:H34)</f>
        <v>422800</v>
      </c>
      <c r="I35" s="260"/>
      <c r="J35" s="258" t="s">
        <v>262</v>
      </c>
      <c r="K35" s="275">
        <f>SUM(K27:K34)</f>
        <v>504132</v>
      </c>
      <c r="L35" s="260"/>
      <c r="M35" s="258" t="s">
        <v>262</v>
      </c>
      <c r="N35" s="275">
        <f>SUM(N27:N34)</f>
        <v>457358</v>
      </c>
      <c r="O35" s="260"/>
      <c r="R35" s="256"/>
    </row>
    <row r="36" spans="1:18" x14ac:dyDescent="0.2">
      <c r="R36" s="256"/>
    </row>
    <row r="37" spans="1:18" ht="13.5" thickBot="1" x14ac:dyDescent="0.25">
      <c r="R37" s="256"/>
    </row>
    <row r="38" spans="1:18" ht="21.95" customHeight="1" thickBot="1" x14ac:dyDescent="0.25">
      <c r="A38" s="340" t="s">
        <v>317</v>
      </c>
      <c r="B38" s="341"/>
      <c r="D38" s="340" t="s">
        <v>268</v>
      </c>
      <c r="E38" s="341"/>
      <c r="R38" s="256"/>
    </row>
    <row r="39" spans="1:18" ht="15" customHeight="1" x14ac:dyDescent="0.2">
      <c r="A39" s="257" t="s">
        <v>252</v>
      </c>
      <c r="B39" s="255">
        <v>16000</v>
      </c>
      <c r="D39" s="257" t="s">
        <v>252</v>
      </c>
      <c r="E39" s="255">
        <v>16000</v>
      </c>
    </row>
    <row r="40" spans="1:18" ht="15" customHeight="1" x14ac:dyDescent="0.2">
      <c r="A40" s="257" t="s">
        <v>253</v>
      </c>
      <c r="B40" s="255">
        <v>25000</v>
      </c>
      <c r="D40" s="257" t="s">
        <v>253</v>
      </c>
      <c r="E40" s="255">
        <v>29800</v>
      </c>
    </row>
    <row r="41" spans="1:18" ht="15" customHeight="1" x14ac:dyDescent="0.2">
      <c r="A41" s="257" t="s">
        <v>254</v>
      </c>
      <c r="B41" s="255">
        <v>25000</v>
      </c>
      <c r="D41" s="257" t="s">
        <v>254</v>
      </c>
      <c r="E41" s="255">
        <v>29800</v>
      </c>
    </row>
    <row r="42" spans="1:18" ht="15" customHeight="1" x14ac:dyDescent="0.2">
      <c r="A42" s="254" t="s">
        <v>255</v>
      </c>
      <c r="B42" s="255">
        <v>160000</v>
      </c>
      <c r="D42" s="254" t="s">
        <v>255</v>
      </c>
      <c r="E42" s="255">
        <v>159982</v>
      </c>
    </row>
    <row r="43" spans="1:18" ht="15" customHeight="1" x14ac:dyDescent="0.2">
      <c r="A43" s="257" t="s">
        <v>256</v>
      </c>
      <c r="B43" s="255">
        <v>23900</v>
      </c>
      <c r="D43" s="257" t="s">
        <v>256</v>
      </c>
      <c r="E43" s="255">
        <v>18900</v>
      </c>
    </row>
    <row r="44" spans="1:18" ht="35.450000000000003" customHeight="1" x14ac:dyDescent="0.2">
      <c r="A44" s="254" t="s">
        <v>507</v>
      </c>
      <c r="B44" s="255">
        <f>9800*2</f>
        <v>19600</v>
      </c>
      <c r="D44" s="254" t="s">
        <v>630</v>
      </c>
      <c r="E44" s="255">
        <v>71800</v>
      </c>
    </row>
    <row r="45" spans="1:18" ht="26.25" customHeight="1" x14ac:dyDescent="0.2">
      <c r="A45" s="254" t="s">
        <v>503</v>
      </c>
      <c r="B45" s="255">
        <f>69000*2</f>
        <v>138000</v>
      </c>
      <c r="D45" s="254" t="s">
        <v>503</v>
      </c>
      <c r="E45" s="255">
        <f>69000*2</f>
        <v>138000</v>
      </c>
    </row>
    <row r="46" spans="1:18" ht="28.35" customHeight="1" thickBot="1" x14ac:dyDescent="0.25">
      <c r="A46" s="254" t="s">
        <v>504</v>
      </c>
      <c r="B46" s="255">
        <f>10600*2</f>
        <v>21200</v>
      </c>
      <c r="D46" s="254" t="s">
        <v>504</v>
      </c>
      <c r="E46" s="255">
        <f>10600*2</f>
        <v>21200</v>
      </c>
    </row>
    <row r="47" spans="1:18" ht="28.7" customHeight="1" thickBot="1" x14ac:dyDescent="0.25">
      <c r="A47" s="258" t="s">
        <v>262</v>
      </c>
      <c r="B47" s="275">
        <f>SUM(B39:B46)</f>
        <v>428700</v>
      </c>
      <c r="D47" s="258" t="s">
        <v>262</v>
      </c>
      <c r="E47" s="275">
        <f>SUM(E39:E46)</f>
        <v>485482</v>
      </c>
    </row>
  </sheetData>
  <mergeCells count="20">
    <mergeCell ref="P2:Q2"/>
    <mergeCell ref="M2:N2"/>
    <mergeCell ref="M14:N14"/>
    <mergeCell ref="P14:Q14"/>
    <mergeCell ref="P26:Q26"/>
    <mergeCell ref="M26:N26"/>
    <mergeCell ref="J2:K2"/>
    <mergeCell ref="J14:K14"/>
    <mergeCell ref="J26:K26"/>
    <mergeCell ref="G26:H26"/>
    <mergeCell ref="A2:B2"/>
    <mergeCell ref="A14:B14"/>
    <mergeCell ref="A26:B26"/>
    <mergeCell ref="A38:B38"/>
    <mergeCell ref="D2:E2"/>
    <mergeCell ref="D14:E14"/>
    <mergeCell ref="D26:E26"/>
    <mergeCell ref="G2:H2"/>
    <mergeCell ref="G14:H14"/>
    <mergeCell ref="D38:E3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showGridLines="0" zoomScale="70" zoomScaleNormal="70" workbookViewId="0">
      <selection activeCell="M78" sqref="M78"/>
    </sheetView>
  </sheetViews>
  <sheetFormatPr baseColWidth="10" defaultColWidth="11.42578125" defaultRowHeight="12.75" x14ac:dyDescent="0.2"/>
  <cols>
    <col min="1" max="1" width="32.85546875" style="193" customWidth="1"/>
    <col min="2" max="2" width="12.85546875" style="193" customWidth="1"/>
    <col min="3" max="3" width="8.85546875" style="193" customWidth="1"/>
    <col min="4" max="4" width="32.85546875" style="193" customWidth="1"/>
    <col min="5" max="5" width="12.5703125" style="193" customWidth="1"/>
    <col min="6" max="6" width="8.85546875" style="193" customWidth="1"/>
    <col min="7" max="7" width="32.5703125" style="193" customWidth="1"/>
    <col min="8" max="8" width="12.5703125" style="193" customWidth="1"/>
    <col min="9" max="9" width="8.85546875" style="193" customWidth="1"/>
    <col min="10" max="10" width="32.85546875" style="193" customWidth="1"/>
    <col min="11" max="11" width="12.5703125" style="193" customWidth="1"/>
    <col min="12" max="12" width="8.85546875" style="193" customWidth="1"/>
    <col min="13" max="13" width="32.5703125" style="193" customWidth="1"/>
    <col min="14" max="14" width="12.5703125" style="193" customWidth="1"/>
    <col min="15" max="16384" width="11.42578125" style="193"/>
  </cols>
  <sheetData>
    <row r="1" spans="1:15" ht="27" customHeight="1" x14ac:dyDescent="0.2"/>
    <row r="2" spans="1:15" ht="24" customHeight="1" x14ac:dyDescent="0.2">
      <c r="A2" s="348" t="s">
        <v>318</v>
      </c>
      <c r="B2" s="349"/>
      <c r="D2" s="348" t="s">
        <v>319</v>
      </c>
      <c r="E2" s="349"/>
      <c r="G2" s="348" t="s">
        <v>320</v>
      </c>
      <c r="H2" s="349"/>
      <c r="J2" s="348" t="s">
        <v>321</v>
      </c>
      <c r="K2" s="349"/>
      <c r="M2" s="348" t="s">
        <v>322</v>
      </c>
      <c r="N2" s="349"/>
    </row>
    <row r="3" spans="1:15" ht="24" customHeight="1" x14ac:dyDescent="0.2">
      <c r="A3" s="353" t="s">
        <v>323</v>
      </c>
      <c r="B3" s="353"/>
      <c r="D3" s="354" t="s">
        <v>324</v>
      </c>
      <c r="E3" s="354"/>
      <c r="G3" s="353" t="s">
        <v>325</v>
      </c>
      <c r="H3" s="353"/>
      <c r="J3" s="353" t="s">
        <v>496</v>
      </c>
      <c r="K3" s="353"/>
      <c r="M3" s="354" t="s">
        <v>326</v>
      </c>
      <c r="N3" s="354"/>
    </row>
    <row r="4" spans="1:15" ht="15.95" customHeight="1" x14ac:dyDescent="0.2">
      <c r="A4" s="278" t="s">
        <v>252</v>
      </c>
      <c r="B4" s="191">
        <v>15600</v>
      </c>
      <c r="D4" s="278" t="s">
        <v>252</v>
      </c>
      <c r="E4" s="191">
        <v>16300</v>
      </c>
      <c r="G4" s="278" t="s">
        <v>252</v>
      </c>
      <c r="H4" s="195">
        <v>20500</v>
      </c>
      <c r="J4" s="278" t="s">
        <v>252</v>
      </c>
      <c r="K4" s="195">
        <v>15600</v>
      </c>
      <c r="M4" s="280" t="s">
        <v>252</v>
      </c>
      <c r="N4" s="195">
        <v>14600</v>
      </c>
    </row>
    <row r="5" spans="1:15" ht="15.95" customHeight="1" x14ac:dyDescent="0.2">
      <c r="A5" s="278" t="s">
        <v>253</v>
      </c>
      <c r="B5" s="191">
        <v>27000</v>
      </c>
      <c r="D5" s="278" t="s">
        <v>253</v>
      </c>
      <c r="E5" s="191">
        <v>27200</v>
      </c>
      <c r="G5" s="278" t="s">
        <v>253</v>
      </c>
      <c r="H5" s="195">
        <v>36700</v>
      </c>
      <c r="J5" s="278" t="s">
        <v>253</v>
      </c>
      <c r="K5" s="195">
        <v>29200</v>
      </c>
      <c r="M5" s="280" t="s">
        <v>253</v>
      </c>
      <c r="N5" s="195">
        <v>27100</v>
      </c>
    </row>
    <row r="6" spans="1:15" ht="15.95" customHeight="1" x14ac:dyDescent="0.2">
      <c r="A6" s="278" t="s">
        <v>254</v>
      </c>
      <c r="B6" s="191">
        <v>27000</v>
      </c>
      <c r="D6" s="278" t="s">
        <v>254</v>
      </c>
      <c r="E6" s="191">
        <v>27200</v>
      </c>
      <c r="G6" s="278" t="s">
        <v>254</v>
      </c>
      <c r="H6" s="195">
        <v>36700</v>
      </c>
      <c r="J6" s="278" t="s">
        <v>254</v>
      </c>
      <c r="K6" s="195">
        <v>29200</v>
      </c>
      <c r="M6" s="280" t="s">
        <v>254</v>
      </c>
      <c r="N6" s="195">
        <v>27100</v>
      </c>
    </row>
    <row r="7" spans="1:15" ht="15.95" customHeight="1" x14ac:dyDescent="0.2">
      <c r="A7" s="279" t="s">
        <v>255</v>
      </c>
      <c r="B7" s="191">
        <v>151346</v>
      </c>
      <c r="D7" s="279" t="s">
        <v>255</v>
      </c>
      <c r="E7" s="191">
        <v>78702</v>
      </c>
      <c r="G7" s="279" t="s">
        <v>255</v>
      </c>
      <c r="H7" s="195">
        <v>176854</v>
      </c>
      <c r="J7" s="279" t="s">
        <v>255</v>
      </c>
      <c r="K7" s="195">
        <v>113807</v>
      </c>
      <c r="M7" s="281" t="s">
        <v>255</v>
      </c>
      <c r="N7" s="195">
        <v>118551</v>
      </c>
    </row>
    <row r="8" spans="1:15" s="197" customFormat="1" ht="15.95" customHeight="1" x14ac:dyDescent="0.2">
      <c r="A8" s="280" t="s">
        <v>256</v>
      </c>
      <c r="B8" s="196">
        <v>12400</v>
      </c>
      <c r="C8" s="234"/>
      <c r="D8" s="287" t="s">
        <v>256</v>
      </c>
      <c r="E8" s="191">
        <v>12400</v>
      </c>
      <c r="F8" s="234"/>
      <c r="G8" s="278" t="s">
        <v>256</v>
      </c>
      <c r="H8" s="196">
        <v>12400</v>
      </c>
      <c r="I8" s="234"/>
      <c r="J8" s="280" t="s">
        <v>256</v>
      </c>
      <c r="K8" s="195">
        <v>12400</v>
      </c>
      <c r="L8" s="234"/>
      <c r="M8" s="280" t="s">
        <v>256</v>
      </c>
      <c r="N8" s="195">
        <v>12400</v>
      </c>
    </row>
    <row r="9" spans="1:15" ht="31.35" customHeight="1" x14ac:dyDescent="0.2">
      <c r="A9" s="281" t="s">
        <v>526</v>
      </c>
      <c r="B9" s="191">
        <f>29000*2</f>
        <v>58000</v>
      </c>
      <c r="C9" s="234"/>
      <c r="D9" s="281" t="s">
        <v>532</v>
      </c>
      <c r="E9" s="191">
        <f>45600*2</f>
        <v>91200</v>
      </c>
      <c r="F9" s="234"/>
      <c r="G9" s="281" t="s">
        <v>547</v>
      </c>
      <c r="H9" s="196">
        <f>18000*2</f>
        <v>36000</v>
      </c>
      <c r="I9" s="234"/>
      <c r="J9" s="201" t="s">
        <v>564</v>
      </c>
      <c r="K9" s="196">
        <f>93400*2</f>
        <v>186800</v>
      </c>
      <c r="L9" s="234"/>
      <c r="M9" s="281" t="s">
        <v>566</v>
      </c>
      <c r="N9" s="196">
        <f>130800*2</f>
        <v>261600</v>
      </c>
      <c r="O9" s="205"/>
    </row>
    <row r="10" spans="1:15" ht="29.1" customHeight="1" x14ac:dyDescent="0.2">
      <c r="E10" s="199"/>
      <c r="G10" s="281" t="s">
        <v>548</v>
      </c>
      <c r="H10" s="196">
        <f>119300*2</f>
        <v>238600</v>
      </c>
      <c r="J10" s="201" t="s">
        <v>565</v>
      </c>
      <c r="K10" s="289">
        <f>24600*2</f>
        <v>49200</v>
      </c>
      <c r="M10" s="281" t="s">
        <v>567</v>
      </c>
      <c r="N10" s="196">
        <f>60300*2</f>
        <v>120600</v>
      </c>
      <c r="O10" s="205"/>
    </row>
    <row r="11" spans="1:15" ht="15" customHeight="1" x14ac:dyDescent="0.2"/>
    <row r="12" spans="1:15" ht="23.1" customHeight="1" x14ac:dyDescent="0.2">
      <c r="M12" s="348" t="s">
        <v>327</v>
      </c>
      <c r="N12" s="349"/>
    </row>
    <row r="13" spans="1:15" s="198" customFormat="1" ht="24" customHeight="1" x14ac:dyDescent="0.2">
      <c r="A13" s="347" t="s">
        <v>328</v>
      </c>
      <c r="B13" s="347"/>
      <c r="C13" s="199"/>
      <c r="D13" s="347" t="s">
        <v>329</v>
      </c>
      <c r="E13" s="347"/>
      <c r="F13" s="199"/>
      <c r="G13" s="347" t="s">
        <v>330</v>
      </c>
      <c r="H13" s="347"/>
      <c r="I13" s="199"/>
      <c r="J13" s="347" t="s">
        <v>331</v>
      </c>
      <c r="K13" s="347"/>
      <c r="L13" s="199"/>
      <c r="M13" s="347" t="s">
        <v>332</v>
      </c>
      <c r="N13" s="347"/>
    </row>
    <row r="14" spans="1:15" ht="15.95" customHeight="1" x14ac:dyDescent="0.2">
      <c r="A14" s="278" t="s">
        <v>252</v>
      </c>
      <c r="B14" s="195">
        <v>15600</v>
      </c>
      <c r="C14" s="199"/>
      <c r="D14" s="278" t="s">
        <v>252</v>
      </c>
      <c r="E14" s="195">
        <v>13600</v>
      </c>
      <c r="F14" s="199"/>
      <c r="G14" s="278" t="s">
        <v>252</v>
      </c>
      <c r="H14" s="195">
        <v>20500</v>
      </c>
      <c r="I14" s="199"/>
      <c r="J14" s="278" t="s">
        <v>252</v>
      </c>
      <c r="K14" s="195">
        <v>15600</v>
      </c>
      <c r="L14" s="199"/>
      <c r="M14" s="280" t="s">
        <v>252</v>
      </c>
      <c r="N14" s="195">
        <v>12200</v>
      </c>
    </row>
    <row r="15" spans="1:15" ht="15.95" customHeight="1" x14ac:dyDescent="0.2">
      <c r="A15" s="278" t="s">
        <v>253</v>
      </c>
      <c r="B15" s="195">
        <v>27000</v>
      </c>
      <c r="C15" s="199"/>
      <c r="D15" s="278" t="s">
        <v>253</v>
      </c>
      <c r="E15" s="195">
        <v>19400</v>
      </c>
      <c r="F15" s="199"/>
      <c r="G15" s="278" t="s">
        <v>253</v>
      </c>
      <c r="H15" s="195">
        <v>36700</v>
      </c>
      <c r="I15" s="199"/>
      <c r="J15" s="278" t="s">
        <v>253</v>
      </c>
      <c r="K15" s="195">
        <v>29200</v>
      </c>
      <c r="L15" s="199"/>
      <c r="M15" s="280" t="s">
        <v>253</v>
      </c>
      <c r="N15" s="195">
        <v>15200</v>
      </c>
    </row>
    <row r="16" spans="1:15" ht="15.95" customHeight="1" x14ac:dyDescent="0.2">
      <c r="A16" s="278" t="s">
        <v>254</v>
      </c>
      <c r="B16" s="195">
        <v>27000</v>
      </c>
      <c r="C16" s="199"/>
      <c r="D16" s="278" t="s">
        <v>254</v>
      </c>
      <c r="E16" s="195">
        <v>19400</v>
      </c>
      <c r="F16" s="199"/>
      <c r="G16" s="278" t="s">
        <v>254</v>
      </c>
      <c r="H16" s="195">
        <v>36700</v>
      </c>
      <c r="I16" s="199"/>
      <c r="J16" s="278" t="s">
        <v>254</v>
      </c>
      <c r="K16" s="195">
        <v>29200</v>
      </c>
      <c r="L16" s="199"/>
      <c r="M16" s="280" t="s">
        <v>254</v>
      </c>
      <c r="N16" s="195">
        <v>15200</v>
      </c>
    </row>
    <row r="17" spans="1:14" ht="15.95" customHeight="1" x14ac:dyDescent="0.2">
      <c r="A17" s="279" t="s">
        <v>255</v>
      </c>
      <c r="B17" s="195">
        <v>151346</v>
      </c>
      <c r="C17" s="199"/>
      <c r="D17" s="279" t="s">
        <v>255</v>
      </c>
      <c r="E17" s="195">
        <v>78702</v>
      </c>
      <c r="F17" s="199"/>
      <c r="G17" s="279" t="s">
        <v>255</v>
      </c>
      <c r="H17" s="195">
        <v>122343</v>
      </c>
      <c r="I17" s="199"/>
      <c r="J17" s="279" t="s">
        <v>255</v>
      </c>
      <c r="K17" s="195">
        <v>113807</v>
      </c>
      <c r="L17" s="199"/>
      <c r="M17" s="281" t="s">
        <v>255</v>
      </c>
      <c r="N17" s="195">
        <v>89607</v>
      </c>
    </row>
    <row r="18" spans="1:14" ht="15.95" customHeight="1" x14ac:dyDescent="0.2">
      <c r="A18" s="280" t="s">
        <v>256</v>
      </c>
      <c r="B18" s="196">
        <v>12400</v>
      </c>
      <c r="C18" s="199"/>
      <c r="D18" s="280" t="s">
        <v>256</v>
      </c>
      <c r="E18" s="196">
        <v>12400</v>
      </c>
      <c r="F18" s="199"/>
      <c r="G18" s="278" t="s">
        <v>256</v>
      </c>
      <c r="H18" s="196">
        <v>12400</v>
      </c>
      <c r="I18" s="199"/>
      <c r="J18" s="278" t="s">
        <v>256</v>
      </c>
      <c r="K18" s="195">
        <v>12400</v>
      </c>
      <c r="L18" s="199"/>
      <c r="M18" s="200" t="s">
        <v>256</v>
      </c>
      <c r="N18" s="195">
        <v>12400</v>
      </c>
    </row>
    <row r="19" spans="1:14" ht="33.6" customHeight="1" x14ac:dyDescent="0.2">
      <c r="A19" s="281" t="s">
        <v>526</v>
      </c>
      <c r="B19" s="191">
        <f>29000*2</f>
        <v>58000</v>
      </c>
      <c r="C19" s="199"/>
      <c r="D19" s="281" t="s">
        <v>533</v>
      </c>
      <c r="E19" s="196">
        <f>46700*2</f>
        <v>93400</v>
      </c>
      <c r="F19" s="199"/>
      <c r="G19" s="281" t="s">
        <v>549</v>
      </c>
      <c r="H19" s="196">
        <f>66400*2</f>
        <v>132800</v>
      </c>
      <c r="I19" s="199"/>
      <c r="J19" s="281" t="s">
        <v>563</v>
      </c>
      <c r="K19" s="196">
        <f>105900*2</f>
        <v>211800</v>
      </c>
      <c r="L19" s="199"/>
      <c r="M19" s="201" t="s">
        <v>568</v>
      </c>
      <c r="N19" s="196">
        <f>120400*2</f>
        <v>240800</v>
      </c>
    </row>
    <row r="20" spans="1:14" ht="26.45" customHeight="1" x14ac:dyDescent="0.2">
      <c r="G20" s="281" t="s">
        <v>550</v>
      </c>
      <c r="H20" s="196">
        <f>119300*2</f>
        <v>238600</v>
      </c>
      <c r="J20" s="281" t="s">
        <v>562</v>
      </c>
      <c r="K20" s="196">
        <f>24600*2</f>
        <v>49200</v>
      </c>
      <c r="M20" s="200" t="s">
        <v>569</v>
      </c>
      <c r="N20" s="196">
        <f>48300*2</f>
        <v>96600</v>
      </c>
    </row>
    <row r="21" spans="1:14" ht="21.6" customHeight="1" x14ac:dyDescent="0.2"/>
    <row r="22" spans="1:14" ht="24" customHeight="1" x14ac:dyDescent="0.2">
      <c r="G22" s="202"/>
      <c r="M22" s="348" t="s">
        <v>333</v>
      </c>
      <c r="N22" s="349"/>
    </row>
    <row r="23" spans="1:14" s="197" customFormat="1" ht="24" customHeight="1" x14ac:dyDescent="0.2">
      <c r="A23" s="347" t="s">
        <v>334</v>
      </c>
      <c r="B23" s="347"/>
      <c r="C23" s="282"/>
      <c r="D23" s="347" t="s">
        <v>335</v>
      </c>
      <c r="E23" s="347"/>
      <c r="F23" s="282"/>
      <c r="G23" s="353" t="s">
        <v>336</v>
      </c>
      <c r="H23" s="353"/>
      <c r="I23" s="282"/>
      <c r="J23" s="347" t="s">
        <v>337</v>
      </c>
      <c r="K23" s="347"/>
      <c r="L23" s="282"/>
      <c r="M23" s="347" t="s">
        <v>338</v>
      </c>
      <c r="N23" s="347"/>
    </row>
    <row r="24" spans="1:14" ht="15.95" customHeight="1" x14ac:dyDescent="0.2">
      <c r="A24" s="278" t="s">
        <v>252</v>
      </c>
      <c r="B24" s="195">
        <v>18500</v>
      </c>
      <c r="C24" s="199"/>
      <c r="D24" s="278" t="s">
        <v>252</v>
      </c>
      <c r="E24" s="195">
        <v>13600</v>
      </c>
      <c r="F24" s="199"/>
      <c r="G24" s="278" t="s">
        <v>252</v>
      </c>
      <c r="H24" s="195">
        <v>20500</v>
      </c>
      <c r="I24" s="199"/>
      <c r="J24" s="278" t="s">
        <v>252</v>
      </c>
      <c r="K24" s="196">
        <v>15600</v>
      </c>
      <c r="L24" s="199"/>
      <c r="M24" s="280" t="s">
        <v>252</v>
      </c>
      <c r="N24" s="195">
        <v>16300</v>
      </c>
    </row>
    <row r="25" spans="1:14" ht="15.95" customHeight="1" x14ac:dyDescent="0.2">
      <c r="A25" s="278" t="s">
        <v>253</v>
      </c>
      <c r="B25" s="195">
        <v>24700</v>
      </c>
      <c r="C25" s="199"/>
      <c r="D25" s="278" t="s">
        <v>253</v>
      </c>
      <c r="E25" s="195">
        <v>19300</v>
      </c>
      <c r="F25" s="199"/>
      <c r="G25" s="278" t="s">
        <v>253</v>
      </c>
      <c r="H25" s="195">
        <v>36700</v>
      </c>
      <c r="I25" s="199"/>
      <c r="J25" s="278" t="s">
        <v>253</v>
      </c>
      <c r="K25" s="196">
        <v>23800</v>
      </c>
      <c r="L25" s="199"/>
      <c r="M25" s="280" t="s">
        <v>253</v>
      </c>
      <c r="N25" s="195">
        <v>29200</v>
      </c>
    </row>
    <row r="26" spans="1:14" ht="15.95" customHeight="1" x14ac:dyDescent="0.2">
      <c r="A26" s="278" t="s">
        <v>254</v>
      </c>
      <c r="B26" s="195">
        <v>24700</v>
      </c>
      <c r="C26" s="199"/>
      <c r="D26" s="278" t="s">
        <v>254</v>
      </c>
      <c r="E26" s="195">
        <v>19300</v>
      </c>
      <c r="F26" s="199"/>
      <c r="G26" s="278" t="s">
        <v>254</v>
      </c>
      <c r="H26" s="195">
        <v>36700</v>
      </c>
      <c r="I26" s="199"/>
      <c r="J26" s="278" t="s">
        <v>254</v>
      </c>
      <c r="K26" s="196">
        <v>23800</v>
      </c>
      <c r="L26" s="199"/>
      <c r="M26" s="280" t="s">
        <v>254</v>
      </c>
      <c r="N26" s="195">
        <v>29200</v>
      </c>
    </row>
    <row r="27" spans="1:14" ht="15.95" customHeight="1" x14ac:dyDescent="0.2">
      <c r="A27" s="279" t="s">
        <v>255</v>
      </c>
      <c r="B27" s="195"/>
      <c r="C27" s="199"/>
      <c r="D27" s="279" t="s">
        <v>255</v>
      </c>
      <c r="E27" s="195">
        <v>60000</v>
      </c>
      <c r="F27" s="199"/>
      <c r="G27" s="279" t="s">
        <v>255</v>
      </c>
      <c r="H27" s="195">
        <v>75046</v>
      </c>
      <c r="I27" s="199"/>
      <c r="J27" s="279" t="s">
        <v>255</v>
      </c>
      <c r="K27" s="196">
        <v>78702</v>
      </c>
      <c r="L27" s="199"/>
      <c r="M27" s="281" t="s">
        <v>255</v>
      </c>
      <c r="N27" s="195">
        <v>198741</v>
      </c>
    </row>
    <row r="28" spans="1:14" ht="15.95" customHeight="1" x14ac:dyDescent="0.2">
      <c r="A28" s="278" t="s">
        <v>256</v>
      </c>
      <c r="B28" s="195">
        <v>12456</v>
      </c>
      <c r="C28" s="283"/>
      <c r="D28" s="278" t="s">
        <v>256</v>
      </c>
      <c r="E28" s="195">
        <v>12400</v>
      </c>
      <c r="F28" s="283"/>
      <c r="G28" s="278" t="s">
        <v>256</v>
      </c>
      <c r="H28" s="196">
        <v>12400</v>
      </c>
      <c r="I28" s="283"/>
      <c r="J28" s="278" t="s">
        <v>256</v>
      </c>
      <c r="K28" s="195">
        <v>12400</v>
      </c>
      <c r="L28" s="283"/>
      <c r="M28" s="280" t="s">
        <v>256</v>
      </c>
      <c r="N28" s="195">
        <v>12400</v>
      </c>
    </row>
    <row r="29" spans="1:14" ht="30.6" customHeight="1" x14ac:dyDescent="0.2">
      <c r="A29" s="281" t="s">
        <v>526</v>
      </c>
      <c r="B29" s="191">
        <f>29000*2</f>
        <v>58000</v>
      </c>
      <c r="C29" s="205"/>
      <c r="D29" s="281" t="s">
        <v>534</v>
      </c>
      <c r="E29" s="196">
        <f>41500*2</f>
        <v>83000</v>
      </c>
      <c r="F29" s="205"/>
      <c r="G29" s="281" t="s">
        <v>551</v>
      </c>
      <c r="H29" s="196">
        <f>134900*2</f>
        <v>269800</v>
      </c>
      <c r="I29" s="205"/>
      <c r="J29" s="281" t="s">
        <v>560</v>
      </c>
      <c r="K29" s="285">
        <f>100700*2</f>
        <v>201400</v>
      </c>
      <c r="L29" s="205"/>
      <c r="M29" s="201" t="s">
        <v>570</v>
      </c>
      <c r="N29" s="285">
        <f>22500*2</f>
        <v>45000</v>
      </c>
    </row>
    <row r="30" spans="1:14" ht="15.75" customHeight="1" x14ac:dyDescent="0.2">
      <c r="G30" s="203"/>
      <c r="H30" s="204"/>
      <c r="J30" s="343" t="s">
        <v>561</v>
      </c>
      <c r="K30" s="344">
        <f>40600*2</f>
        <v>81200</v>
      </c>
    </row>
    <row r="31" spans="1:14" ht="12.95" customHeight="1" x14ac:dyDescent="0.2">
      <c r="D31" s="194"/>
      <c r="E31" s="194"/>
      <c r="J31" s="343"/>
      <c r="K31" s="344"/>
    </row>
    <row r="32" spans="1:14" ht="14.45" customHeight="1" x14ac:dyDescent="0.2">
      <c r="D32" s="194"/>
      <c r="E32" s="194"/>
      <c r="J32" s="194"/>
      <c r="K32" s="194"/>
      <c r="M32" s="192"/>
      <c r="N32" s="205"/>
    </row>
    <row r="33" spans="1:15" s="197" customFormat="1" ht="24" customHeight="1" x14ac:dyDescent="0.2">
      <c r="C33" s="193"/>
      <c r="D33" s="348" t="s">
        <v>339</v>
      </c>
      <c r="E33" s="349"/>
      <c r="F33" s="193"/>
      <c r="G33" s="348" t="s">
        <v>340</v>
      </c>
      <c r="H33" s="349"/>
      <c r="I33" s="193"/>
      <c r="J33" s="348" t="s">
        <v>341</v>
      </c>
      <c r="K33" s="349"/>
      <c r="L33" s="193"/>
      <c r="M33" s="348" t="s">
        <v>327</v>
      </c>
      <c r="N33" s="349"/>
      <c r="O33" s="193"/>
    </row>
    <row r="34" spans="1:15" s="198" customFormat="1" ht="24" customHeight="1" x14ac:dyDescent="0.2">
      <c r="A34" s="347" t="s">
        <v>342</v>
      </c>
      <c r="B34" s="347"/>
      <c r="C34" s="193"/>
      <c r="D34" s="347" t="s">
        <v>343</v>
      </c>
      <c r="E34" s="347"/>
      <c r="F34" s="193"/>
      <c r="G34" s="347" t="s">
        <v>344</v>
      </c>
      <c r="H34" s="347"/>
      <c r="I34" s="193"/>
      <c r="J34" s="347" t="s">
        <v>345</v>
      </c>
      <c r="K34" s="347"/>
      <c r="L34" s="193"/>
      <c r="M34" s="347" t="s">
        <v>346</v>
      </c>
      <c r="N34" s="347"/>
    </row>
    <row r="35" spans="1:15" ht="15.95" customHeight="1" x14ac:dyDescent="0.2">
      <c r="A35" s="278" t="s">
        <v>252</v>
      </c>
      <c r="B35" s="195">
        <v>16000</v>
      </c>
      <c r="D35" s="278" t="s">
        <v>252</v>
      </c>
      <c r="E35" s="195">
        <v>15600</v>
      </c>
      <c r="G35" s="278" t="s">
        <v>252</v>
      </c>
      <c r="H35" s="195">
        <v>16300</v>
      </c>
      <c r="J35" s="278" t="s">
        <v>252</v>
      </c>
      <c r="K35" s="195">
        <v>15600</v>
      </c>
      <c r="M35" s="280" t="s">
        <v>252</v>
      </c>
      <c r="N35" s="195">
        <v>14300</v>
      </c>
    </row>
    <row r="36" spans="1:15" ht="15.95" customHeight="1" x14ac:dyDescent="0.2">
      <c r="A36" s="278" t="s">
        <v>253</v>
      </c>
      <c r="B36" s="195">
        <v>25300</v>
      </c>
      <c r="D36" s="278" t="s">
        <v>253</v>
      </c>
      <c r="E36" s="195">
        <v>27000</v>
      </c>
      <c r="G36" s="278" t="s">
        <v>253</v>
      </c>
      <c r="H36" s="195">
        <v>29200</v>
      </c>
      <c r="J36" s="278" t="s">
        <v>253</v>
      </c>
      <c r="K36" s="195">
        <v>27000</v>
      </c>
      <c r="M36" s="280" t="s">
        <v>253</v>
      </c>
      <c r="N36" s="195">
        <v>17800</v>
      </c>
    </row>
    <row r="37" spans="1:15" ht="15.95" customHeight="1" x14ac:dyDescent="0.2">
      <c r="A37" s="278" t="s">
        <v>254</v>
      </c>
      <c r="B37" s="195">
        <v>25300</v>
      </c>
      <c r="D37" s="278" t="s">
        <v>254</v>
      </c>
      <c r="E37" s="195">
        <v>27000</v>
      </c>
      <c r="G37" s="278" t="s">
        <v>254</v>
      </c>
      <c r="H37" s="195">
        <v>29200</v>
      </c>
      <c r="J37" s="278" t="s">
        <v>254</v>
      </c>
      <c r="K37" s="195">
        <v>27000</v>
      </c>
      <c r="M37" s="280" t="s">
        <v>254</v>
      </c>
      <c r="N37" s="195">
        <v>17800</v>
      </c>
    </row>
    <row r="38" spans="1:15" ht="15.95" customHeight="1" x14ac:dyDescent="0.2">
      <c r="A38" s="279" t="s">
        <v>255</v>
      </c>
      <c r="B38" s="195">
        <v>151346</v>
      </c>
      <c r="D38" s="279" t="s">
        <v>255</v>
      </c>
      <c r="E38" s="195">
        <v>145112</v>
      </c>
      <c r="G38" s="279" t="s">
        <v>255</v>
      </c>
      <c r="H38" s="195">
        <v>147158</v>
      </c>
      <c r="J38" s="279" t="s">
        <v>255</v>
      </c>
      <c r="K38" s="195">
        <v>78702</v>
      </c>
      <c r="M38" s="281" t="s">
        <v>255</v>
      </c>
      <c r="N38" s="195">
        <v>105298</v>
      </c>
    </row>
    <row r="39" spans="1:15" ht="15.95" customHeight="1" x14ac:dyDescent="0.2">
      <c r="A39" s="278" t="s">
        <v>256</v>
      </c>
      <c r="B39" s="195">
        <v>19400</v>
      </c>
      <c r="D39" s="278" t="s">
        <v>256</v>
      </c>
      <c r="E39" s="195">
        <v>12400</v>
      </c>
      <c r="G39" s="278" t="s">
        <v>256</v>
      </c>
      <c r="H39" s="195">
        <v>12400</v>
      </c>
      <c r="J39" s="278" t="s">
        <v>256</v>
      </c>
      <c r="K39" s="195">
        <v>12400</v>
      </c>
      <c r="M39" s="280" t="s">
        <v>256</v>
      </c>
      <c r="N39" s="195">
        <v>12400</v>
      </c>
    </row>
    <row r="40" spans="1:15" ht="32.450000000000003" customHeight="1" x14ac:dyDescent="0.2">
      <c r="A40" s="281" t="s">
        <v>527</v>
      </c>
      <c r="B40" s="196">
        <f>62300*2</f>
        <v>124600</v>
      </c>
      <c r="D40" s="281" t="s">
        <v>535</v>
      </c>
      <c r="E40" s="196">
        <f>35500*2</f>
        <v>71000</v>
      </c>
      <c r="G40" s="281" t="s">
        <v>573</v>
      </c>
      <c r="H40" s="196">
        <f>98600*2</f>
        <v>197200</v>
      </c>
      <c r="J40" s="281" t="s">
        <v>347</v>
      </c>
      <c r="K40" s="196">
        <f>51900*2</f>
        <v>103800</v>
      </c>
      <c r="M40" s="201" t="s">
        <v>571</v>
      </c>
      <c r="N40" s="196">
        <f>119300*2</f>
        <v>238600</v>
      </c>
    </row>
    <row r="41" spans="1:15" ht="25.7" customHeight="1" x14ac:dyDescent="0.2">
      <c r="A41" s="281" t="s">
        <v>528</v>
      </c>
      <c r="B41" s="196">
        <f>31100*2</f>
        <v>62200</v>
      </c>
      <c r="D41" s="281" t="s">
        <v>536</v>
      </c>
      <c r="E41" s="196">
        <f>150500*2</f>
        <v>301000</v>
      </c>
      <c r="G41" s="281" t="s">
        <v>574</v>
      </c>
      <c r="H41" s="196">
        <f>13100*2</f>
        <v>26200</v>
      </c>
      <c r="M41" s="281" t="s">
        <v>572</v>
      </c>
      <c r="N41" s="196">
        <f>50800*2</f>
        <v>101600</v>
      </c>
    </row>
    <row r="42" spans="1:15" ht="15" customHeight="1" x14ac:dyDescent="0.2">
      <c r="A42" s="192"/>
      <c r="B42" s="199"/>
    </row>
    <row r="43" spans="1:15" ht="24" customHeight="1" x14ac:dyDescent="0.2">
      <c r="A43" s="192"/>
      <c r="B43" s="205"/>
      <c r="D43" s="192"/>
      <c r="E43" s="205"/>
      <c r="G43" s="348" t="s">
        <v>348</v>
      </c>
      <c r="H43" s="349"/>
      <c r="J43" s="348" t="s">
        <v>349</v>
      </c>
      <c r="K43" s="349"/>
      <c r="M43" s="348" t="s">
        <v>350</v>
      </c>
      <c r="N43" s="349"/>
    </row>
    <row r="44" spans="1:15" ht="24" customHeight="1" x14ac:dyDescent="0.2">
      <c r="A44" s="347" t="s">
        <v>351</v>
      </c>
      <c r="B44" s="347"/>
      <c r="D44" s="347" t="s">
        <v>352</v>
      </c>
      <c r="E44" s="347"/>
      <c r="G44" s="347" t="s">
        <v>353</v>
      </c>
      <c r="H44" s="347"/>
      <c r="J44" s="350" t="s">
        <v>354</v>
      </c>
      <c r="K44" s="351"/>
      <c r="M44" s="345" t="s">
        <v>355</v>
      </c>
      <c r="N44" s="346"/>
    </row>
    <row r="45" spans="1:15" ht="15.95" customHeight="1" x14ac:dyDescent="0.2">
      <c r="A45" s="278" t="s">
        <v>252</v>
      </c>
      <c r="B45" s="195">
        <v>16000</v>
      </c>
      <c r="D45" s="278" t="s">
        <v>252</v>
      </c>
      <c r="E45" s="195">
        <v>15600</v>
      </c>
      <c r="G45" s="280" t="s">
        <v>252</v>
      </c>
      <c r="H45" s="195">
        <v>16300</v>
      </c>
      <c r="J45" s="278" t="s">
        <v>252</v>
      </c>
      <c r="K45" s="195">
        <v>13600</v>
      </c>
      <c r="M45" s="278" t="s">
        <v>252</v>
      </c>
      <c r="N45" s="195">
        <v>21200</v>
      </c>
    </row>
    <row r="46" spans="1:15" ht="15.95" customHeight="1" x14ac:dyDescent="0.2">
      <c r="A46" s="278" t="s">
        <v>253</v>
      </c>
      <c r="B46" s="195">
        <v>25300</v>
      </c>
      <c r="D46" s="278" t="s">
        <v>253</v>
      </c>
      <c r="E46" s="195">
        <v>27000</v>
      </c>
      <c r="G46" s="280" t="s">
        <v>253</v>
      </c>
      <c r="H46" s="195">
        <v>29200</v>
      </c>
      <c r="J46" s="278" t="s">
        <v>253</v>
      </c>
      <c r="K46" s="195">
        <v>23200</v>
      </c>
      <c r="M46" s="278" t="s">
        <v>253</v>
      </c>
      <c r="N46" s="195">
        <v>29200</v>
      </c>
    </row>
    <row r="47" spans="1:15" ht="15.95" customHeight="1" x14ac:dyDescent="0.2">
      <c r="A47" s="278" t="s">
        <v>254</v>
      </c>
      <c r="B47" s="195">
        <v>25300</v>
      </c>
      <c r="D47" s="278" t="s">
        <v>254</v>
      </c>
      <c r="E47" s="195">
        <v>27000</v>
      </c>
      <c r="G47" s="280" t="s">
        <v>254</v>
      </c>
      <c r="H47" s="195">
        <v>29200</v>
      </c>
      <c r="J47" s="278" t="s">
        <v>254</v>
      </c>
      <c r="K47" s="195">
        <v>23200</v>
      </c>
      <c r="M47" s="278" t="s">
        <v>254</v>
      </c>
      <c r="N47" s="195">
        <v>29200</v>
      </c>
    </row>
    <row r="48" spans="1:15" ht="15.95" customHeight="1" x14ac:dyDescent="0.2">
      <c r="A48" s="279" t="s">
        <v>255</v>
      </c>
      <c r="B48" s="195">
        <v>151346</v>
      </c>
      <c r="C48" s="199"/>
      <c r="D48" s="279" t="s">
        <v>255</v>
      </c>
      <c r="E48" s="195">
        <v>145112</v>
      </c>
      <c r="F48" s="199"/>
      <c r="G48" s="281" t="s">
        <v>255</v>
      </c>
      <c r="H48" s="195">
        <v>94466</v>
      </c>
      <c r="I48" s="199"/>
      <c r="J48" s="279" t="s">
        <v>255</v>
      </c>
      <c r="K48" s="195">
        <v>210572</v>
      </c>
      <c r="L48" s="199"/>
      <c r="M48" s="279" t="s">
        <v>255</v>
      </c>
      <c r="N48" s="195">
        <v>113807</v>
      </c>
    </row>
    <row r="49" spans="1:14" ht="15.95" customHeight="1" x14ac:dyDescent="0.2">
      <c r="A49" s="278" t="s">
        <v>256</v>
      </c>
      <c r="B49" s="195">
        <v>19400</v>
      </c>
      <c r="C49" s="199"/>
      <c r="D49" s="278" t="s">
        <v>256</v>
      </c>
      <c r="E49" s="195">
        <v>12400</v>
      </c>
      <c r="F49" s="199"/>
      <c r="G49" s="280" t="s">
        <v>256</v>
      </c>
      <c r="H49" s="195">
        <v>12400</v>
      </c>
      <c r="I49" s="199"/>
      <c r="J49" s="278" t="s">
        <v>256</v>
      </c>
      <c r="K49" s="195">
        <v>12400</v>
      </c>
      <c r="L49" s="199"/>
      <c r="M49" s="280" t="s">
        <v>256</v>
      </c>
      <c r="N49" s="195">
        <v>12400</v>
      </c>
    </row>
    <row r="50" spans="1:14" ht="30.2" customHeight="1" x14ac:dyDescent="0.2">
      <c r="A50" s="284" t="s">
        <v>356</v>
      </c>
      <c r="B50" s="285">
        <f>25950*2</f>
        <v>51900</v>
      </c>
      <c r="C50" s="235"/>
      <c r="D50" s="281" t="s">
        <v>537</v>
      </c>
      <c r="E50" s="196">
        <f>28400*2</f>
        <v>56800</v>
      </c>
      <c r="F50" s="235"/>
      <c r="G50" s="281" t="s">
        <v>575</v>
      </c>
      <c r="H50" s="196">
        <f>134900*2</f>
        <v>269800</v>
      </c>
      <c r="I50" s="235"/>
      <c r="J50" s="281" t="s">
        <v>559</v>
      </c>
      <c r="K50" s="196">
        <f>10000*2</f>
        <v>20000</v>
      </c>
      <c r="L50" s="235"/>
      <c r="M50" s="281" t="s">
        <v>579</v>
      </c>
      <c r="N50" s="196">
        <f>24600*2</f>
        <v>49200</v>
      </c>
    </row>
    <row r="51" spans="1:14" ht="25.5" x14ac:dyDescent="0.2">
      <c r="A51" s="284" t="s">
        <v>529</v>
      </c>
      <c r="B51" s="286">
        <f>72700*2</f>
        <v>145400</v>
      </c>
      <c r="C51" s="235"/>
      <c r="F51" s="235"/>
      <c r="G51" s="278" t="s">
        <v>576</v>
      </c>
      <c r="H51" s="196">
        <f>19500*2</f>
        <v>39000</v>
      </c>
      <c r="I51" s="235"/>
      <c r="J51" s="281" t="s">
        <v>558</v>
      </c>
      <c r="K51" s="195">
        <f>31100*2</f>
        <v>62200</v>
      </c>
      <c r="L51" s="235"/>
      <c r="M51" s="198"/>
      <c r="N51" s="198"/>
    </row>
    <row r="52" spans="1:14" ht="25.5" x14ac:dyDescent="0.2">
      <c r="J52" s="281" t="s">
        <v>557</v>
      </c>
      <c r="K52" s="196">
        <f>83000*2</f>
        <v>166000</v>
      </c>
      <c r="M52" s="192"/>
      <c r="N52" s="205"/>
    </row>
    <row r="53" spans="1:14" ht="24" customHeight="1" x14ac:dyDescent="0.2">
      <c r="D53" s="348" t="s">
        <v>357</v>
      </c>
      <c r="E53" s="349"/>
      <c r="H53" s="205"/>
      <c r="J53" s="192"/>
      <c r="K53" s="205"/>
    </row>
    <row r="54" spans="1:14" ht="24" customHeight="1" x14ac:dyDescent="0.2">
      <c r="A54" s="347" t="s">
        <v>358</v>
      </c>
      <c r="B54" s="347"/>
      <c r="D54" s="345" t="s">
        <v>359</v>
      </c>
      <c r="E54" s="346"/>
      <c r="G54" s="345" t="s">
        <v>360</v>
      </c>
      <c r="H54" s="346"/>
      <c r="J54" s="345" t="s">
        <v>361</v>
      </c>
      <c r="K54" s="346"/>
      <c r="M54" s="347" t="s">
        <v>362</v>
      </c>
      <c r="N54" s="347"/>
    </row>
    <row r="55" spans="1:14" ht="15.95" customHeight="1" x14ac:dyDescent="0.2">
      <c r="A55" s="280" t="s">
        <v>252</v>
      </c>
      <c r="B55" s="196">
        <v>15600</v>
      </c>
      <c r="D55" s="278" t="s">
        <v>252</v>
      </c>
      <c r="E55" s="196">
        <v>15600</v>
      </c>
      <c r="G55" s="278" t="s">
        <v>252</v>
      </c>
      <c r="H55" s="196">
        <v>16300</v>
      </c>
      <c r="J55" s="278" t="s">
        <v>252</v>
      </c>
      <c r="K55" s="195">
        <v>20500</v>
      </c>
      <c r="M55" s="278" t="s">
        <v>252</v>
      </c>
      <c r="N55" s="195">
        <v>21200</v>
      </c>
    </row>
    <row r="56" spans="1:14" ht="15.95" customHeight="1" x14ac:dyDescent="0.2">
      <c r="A56" s="280" t="s">
        <v>253</v>
      </c>
      <c r="B56" s="196">
        <v>27000</v>
      </c>
      <c r="D56" s="278" t="s">
        <v>253</v>
      </c>
      <c r="E56" s="196">
        <v>27000</v>
      </c>
      <c r="G56" s="278" t="s">
        <v>253</v>
      </c>
      <c r="H56" s="196">
        <v>23200</v>
      </c>
      <c r="J56" s="278" t="s">
        <v>253</v>
      </c>
      <c r="K56" s="195">
        <v>23200</v>
      </c>
      <c r="M56" s="278" t="s">
        <v>253</v>
      </c>
      <c r="N56" s="195">
        <v>35000</v>
      </c>
    </row>
    <row r="57" spans="1:14" ht="15.95" customHeight="1" x14ac:dyDescent="0.2">
      <c r="A57" s="280" t="s">
        <v>254</v>
      </c>
      <c r="B57" s="196">
        <v>27000</v>
      </c>
      <c r="D57" s="278" t="s">
        <v>254</v>
      </c>
      <c r="E57" s="196">
        <v>27000</v>
      </c>
      <c r="G57" s="278" t="s">
        <v>254</v>
      </c>
      <c r="H57" s="196">
        <v>29200</v>
      </c>
      <c r="J57" s="278" t="s">
        <v>254</v>
      </c>
      <c r="K57" s="195">
        <v>23200</v>
      </c>
      <c r="M57" s="278" t="s">
        <v>254</v>
      </c>
      <c r="N57" s="195">
        <v>29200</v>
      </c>
    </row>
    <row r="58" spans="1:14" ht="15.95" customHeight="1" x14ac:dyDescent="0.2">
      <c r="A58" s="281" t="s">
        <v>255</v>
      </c>
      <c r="B58" s="196">
        <v>151346</v>
      </c>
      <c r="D58" s="279" t="s">
        <v>255</v>
      </c>
      <c r="E58" s="196">
        <v>145112</v>
      </c>
      <c r="G58" s="279" t="s">
        <v>255</v>
      </c>
      <c r="H58" s="196">
        <v>202743</v>
      </c>
      <c r="J58" s="279" t="s">
        <v>255</v>
      </c>
      <c r="K58" s="195">
        <v>127223</v>
      </c>
      <c r="M58" s="279" t="s">
        <v>255</v>
      </c>
      <c r="N58" s="196">
        <v>113807</v>
      </c>
    </row>
    <row r="59" spans="1:14" ht="15.95" customHeight="1" x14ac:dyDescent="0.2">
      <c r="A59" s="278" t="s">
        <v>256</v>
      </c>
      <c r="B59" s="196">
        <v>19400</v>
      </c>
      <c r="D59" s="278" t="s">
        <v>256</v>
      </c>
      <c r="E59" s="196">
        <v>12400</v>
      </c>
      <c r="G59" s="278" t="s">
        <v>256</v>
      </c>
      <c r="H59" s="195">
        <v>12400</v>
      </c>
      <c r="J59" s="280" t="s">
        <v>256</v>
      </c>
      <c r="K59" s="195">
        <v>12400</v>
      </c>
      <c r="M59" s="280" t="s">
        <v>256</v>
      </c>
      <c r="N59" s="196">
        <v>23600</v>
      </c>
    </row>
    <row r="60" spans="1:14" ht="24.6" customHeight="1" x14ac:dyDescent="0.2">
      <c r="A60" s="279" t="s">
        <v>530</v>
      </c>
      <c r="B60" s="196">
        <f>36300*2</f>
        <v>72600</v>
      </c>
      <c r="D60" s="281" t="s">
        <v>538</v>
      </c>
      <c r="E60" s="196">
        <f>93400*2</f>
        <v>186800</v>
      </c>
      <c r="G60" s="281" t="s">
        <v>578</v>
      </c>
      <c r="H60" s="196">
        <f>83000*2</f>
        <v>166000</v>
      </c>
      <c r="J60" s="281" t="s">
        <v>556</v>
      </c>
      <c r="K60" s="196">
        <f>36000*2</f>
        <v>72000</v>
      </c>
      <c r="M60" s="281" t="s">
        <v>580</v>
      </c>
      <c r="N60" s="196">
        <f>83000*2</f>
        <v>166000</v>
      </c>
    </row>
    <row r="61" spans="1:14" ht="30.95" customHeight="1" x14ac:dyDescent="0.2">
      <c r="A61" s="192"/>
      <c r="B61" s="205"/>
      <c r="C61" s="205"/>
      <c r="D61" s="279" t="s">
        <v>539</v>
      </c>
      <c r="E61" s="196">
        <f>17900*2</f>
        <v>35800</v>
      </c>
      <c r="F61" s="205"/>
      <c r="G61" s="281" t="s">
        <v>577</v>
      </c>
      <c r="H61" s="196">
        <f>9800*2</f>
        <v>19600</v>
      </c>
      <c r="I61" s="205"/>
      <c r="J61" s="192"/>
      <c r="K61" s="205"/>
      <c r="L61" s="205"/>
      <c r="M61" s="281" t="s">
        <v>581</v>
      </c>
      <c r="N61" s="196">
        <f>24600*2</f>
        <v>49200</v>
      </c>
    </row>
    <row r="62" spans="1:14" ht="15" customHeight="1" x14ac:dyDescent="0.2">
      <c r="J62" s="192"/>
      <c r="K62" s="205"/>
    </row>
    <row r="63" spans="1:14" ht="24" customHeight="1" x14ac:dyDescent="0.2">
      <c r="A63" s="348" t="s">
        <v>368</v>
      </c>
      <c r="B63" s="349"/>
      <c r="C63" s="199"/>
      <c r="D63" s="348" t="s">
        <v>363</v>
      </c>
      <c r="E63" s="349"/>
      <c r="F63" s="199"/>
      <c r="G63" s="348" t="s">
        <v>364</v>
      </c>
      <c r="H63" s="349"/>
      <c r="I63" s="199"/>
      <c r="L63" s="199"/>
    </row>
    <row r="64" spans="1:14" ht="24" customHeight="1" x14ac:dyDescent="0.2">
      <c r="A64" s="345" t="s">
        <v>369</v>
      </c>
      <c r="B64" s="346"/>
      <c r="C64" s="199"/>
      <c r="D64" s="345" t="s">
        <v>365</v>
      </c>
      <c r="E64" s="346"/>
      <c r="F64" s="199"/>
      <c r="G64" s="345" t="s">
        <v>366</v>
      </c>
      <c r="H64" s="346"/>
      <c r="I64" s="199"/>
      <c r="J64" s="347" t="s">
        <v>367</v>
      </c>
      <c r="K64" s="347"/>
      <c r="L64" s="199"/>
    </row>
    <row r="65" spans="1:12" ht="15.95" customHeight="1" x14ac:dyDescent="0.2">
      <c r="A65" s="278" t="s">
        <v>252</v>
      </c>
      <c r="B65" s="195">
        <v>16100</v>
      </c>
      <c r="C65" s="199"/>
      <c r="D65" s="278" t="s">
        <v>252</v>
      </c>
      <c r="E65" s="195">
        <v>15600</v>
      </c>
      <c r="F65" s="199"/>
      <c r="G65" s="278" t="s">
        <v>252</v>
      </c>
      <c r="H65" s="195">
        <v>16300</v>
      </c>
      <c r="I65" s="199"/>
      <c r="J65" s="278" t="s">
        <v>252</v>
      </c>
      <c r="K65" s="195">
        <v>12600</v>
      </c>
      <c r="L65" s="199"/>
    </row>
    <row r="66" spans="1:12" ht="15.95" customHeight="1" x14ac:dyDescent="0.2">
      <c r="A66" s="278" t="s">
        <v>253</v>
      </c>
      <c r="B66" s="195">
        <v>20800</v>
      </c>
      <c r="C66" s="199"/>
      <c r="D66" s="280" t="s">
        <v>253</v>
      </c>
      <c r="E66" s="195">
        <v>27000</v>
      </c>
      <c r="F66" s="199"/>
      <c r="G66" s="278" t="s">
        <v>253</v>
      </c>
      <c r="H66" s="195">
        <v>20800</v>
      </c>
      <c r="I66" s="199"/>
      <c r="J66" s="278" t="s">
        <v>253</v>
      </c>
      <c r="K66" s="195">
        <v>23200</v>
      </c>
      <c r="L66" s="199"/>
    </row>
    <row r="67" spans="1:12" ht="15.95" customHeight="1" x14ac:dyDescent="0.2">
      <c r="A67" s="278" t="s">
        <v>254</v>
      </c>
      <c r="B67" s="195">
        <v>20800</v>
      </c>
      <c r="C67" s="199"/>
      <c r="D67" s="278" t="s">
        <v>254</v>
      </c>
      <c r="E67" s="195">
        <v>27000</v>
      </c>
      <c r="F67" s="199"/>
      <c r="G67" s="278" t="s">
        <v>254</v>
      </c>
      <c r="H67" s="195">
        <v>29200</v>
      </c>
      <c r="I67" s="199"/>
      <c r="J67" s="278" t="s">
        <v>254</v>
      </c>
      <c r="K67" s="195">
        <v>23200</v>
      </c>
      <c r="L67" s="199"/>
    </row>
    <row r="68" spans="1:12" ht="15.95" customHeight="1" x14ac:dyDescent="0.2">
      <c r="A68" s="279" t="s">
        <v>255</v>
      </c>
      <c r="B68" s="195">
        <v>122343</v>
      </c>
      <c r="C68" s="199"/>
      <c r="D68" s="279" t="s">
        <v>255</v>
      </c>
      <c r="E68" s="195">
        <v>176854</v>
      </c>
      <c r="F68" s="199"/>
      <c r="G68" s="279" t="s">
        <v>255</v>
      </c>
      <c r="H68" s="195">
        <v>122343</v>
      </c>
      <c r="I68" s="199"/>
      <c r="J68" s="279" t="s">
        <v>255</v>
      </c>
      <c r="K68" s="195">
        <v>127223</v>
      </c>
      <c r="L68" s="199"/>
    </row>
    <row r="69" spans="1:12" ht="15.95" customHeight="1" x14ac:dyDescent="0.2">
      <c r="A69" s="280" t="s">
        <v>256</v>
      </c>
      <c r="B69" s="195">
        <v>12400</v>
      </c>
      <c r="C69" s="199"/>
      <c r="D69" s="280" t="s">
        <v>256</v>
      </c>
      <c r="E69" s="195">
        <v>12400</v>
      </c>
      <c r="F69" s="199"/>
      <c r="G69" s="280" t="s">
        <v>256</v>
      </c>
      <c r="H69" s="195">
        <v>12400</v>
      </c>
      <c r="I69" s="199"/>
      <c r="J69" s="278" t="s">
        <v>256</v>
      </c>
      <c r="K69" s="195">
        <v>12400</v>
      </c>
      <c r="L69" s="199"/>
    </row>
    <row r="70" spans="1:12" ht="26.45" customHeight="1" x14ac:dyDescent="0.2">
      <c r="A70" s="281" t="s">
        <v>372</v>
      </c>
      <c r="B70" s="196">
        <f>51900*2</f>
        <v>103800</v>
      </c>
      <c r="C70" s="199"/>
      <c r="D70" s="281" t="s">
        <v>540</v>
      </c>
      <c r="E70" s="196">
        <f>79300*2</f>
        <v>158600</v>
      </c>
      <c r="F70" s="199"/>
      <c r="G70" s="281" t="s">
        <v>552</v>
      </c>
      <c r="H70" s="196">
        <f>124500*2</f>
        <v>249000</v>
      </c>
      <c r="I70" s="199"/>
      <c r="J70" s="281" t="s">
        <v>554</v>
      </c>
      <c r="K70" s="196">
        <f>72600*2</f>
        <v>145200</v>
      </c>
      <c r="L70" s="199"/>
    </row>
    <row r="71" spans="1:12" ht="27" customHeight="1" x14ac:dyDescent="0.2">
      <c r="A71" s="279" t="s">
        <v>531</v>
      </c>
      <c r="B71" s="196">
        <f>67000*2</f>
        <v>134000</v>
      </c>
      <c r="C71" s="199"/>
      <c r="D71" s="281" t="s">
        <v>541</v>
      </c>
      <c r="E71" s="196">
        <f>25000*2</f>
        <v>50000</v>
      </c>
      <c r="F71" s="199"/>
      <c r="G71" s="281" t="s">
        <v>553</v>
      </c>
      <c r="H71" s="196">
        <f>67000*2</f>
        <v>134000</v>
      </c>
      <c r="I71" s="199"/>
      <c r="J71" s="281" t="s">
        <v>555</v>
      </c>
      <c r="K71" s="196">
        <f>74600*2</f>
        <v>149200</v>
      </c>
      <c r="L71" s="199"/>
    </row>
    <row r="72" spans="1:12" ht="15.6" customHeight="1" x14ac:dyDescent="0.2">
      <c r="C72" s="199"/>
      <c r="F72" s="199"/>
      <c r="I72" s="199"/>
      <c r="L72" s="199"/>
    </row>
    <row r="73" spans="1:12" ht="28.5" customHeight="1" x14ac:dyDescent="0.2">
      <c r="C73" s="199"/>
      <c r="F73" s="199"/>
      <c r="G73" s="352"/>
      <c r="H73" s="352"/>
      <c r="I73" s="199"/>
      <c r="L73" s="199"/>
    </row>
    <row r="74" spans="1:12" ht="24" customHeight="1" x14ac:dyDescent="0.2">
      <c r="C74" s="199"/>
      <c r="D74" s="350" t="s">
        <v>370</v>
      </c>
      <c r="E74" s="351"/>
      <c r="F74" s="199"/>
      <c r="G74" s="350" t="s">
        <v>371</v>
      </c>
      <c r="H74" s="351"/>
      <c r="I74" s="199"/>
      <c r="L74" s="199"/>
    </row>
    <row r="75" spans="1:12" ht="15.95" customHeight="1" x14ac:dyDescent="0.2">
      <c r="D75" s="278" t="s">
        <v>252</v>
      </c>
      <c r="E75" s="195">
        <v>15600</v>
      </c>
      <c r="G75" s="280" t="s">
        <v>252</v>
      </c>
      <c r="H75" s="288">
        <v>21100</v>
      </c>
    </row>
    <row r="76" spans="1:12" ht="15.95" customHeight="1" x14ac:dyDescent="0.2">
      <c r="D76" s="278" t="s">
        <v>253</v>
      </c>
      <c r="E76" s="195">
        <v>20100</v>
      </c>
      <c r="G76" s="280" t="s">
        <v>253</v>
      </c>
      <c r="H76" s="288">
        <v>29200</v>
      </c>
    </row>
    <row r="77" spans="1:12" ht="15.95" customHeight="1" x14ac:dyDescent="0.2">
      <c r="D77" s="278" t="s">
        <v>254</v>
      </c>
      <c r="E77" s="195">
        <v>27000</v>
      </c>
      <c r="G77" s="280" t="s">
        <v>254</v>
      </c>
      <c r="H77" s="288">
        <v>29200</v>
      </c>
    </row>
    <row r="78" spans="1:12" ht="15.95" customHeight="1" x14ac:dyDescent="0.2">
      <c r="D78" s="279" t="s">
        <v>255</v>
      </c>
      <c r="E78" s="195">
        <v>176854</v>
      </c>
      <c r="G78" s="281" t="s">
        <v>255</v>
      </c>
      <c r="H78" s="288">
        <v>112000</v>
      </c>
    </row>
    <row r="79" spans="1:12" ht="15.95" customHeight="1" x14ac:dyDescent="0.2">
      <c r="D79" s="278" t="s">
        <v>256</v>
      </c>
      <c r="E79" s="195">
        <v>12400</v>
      </c>
      <c r="G79" s="280" t="s">
        <v>256</v>
      </c>
      <c r="H79" s="195">
        <v>12400</v>
      </c>
    </row>
    <row r="80" spans="1:12" ht="25.5" x14ac:dyDescent="0.2">
      <c r="D80" s="281" t="s">
        <v>542</v>
      </c>
      <c r="E80" s="196">
        <f>57000*2</f>
        <v>114000</v>
      </c>
      <c r="G80" s="281" t="s">
        <v>628</v>
      </c>
      <c r="H80" s="288">
        <f>46700*2</f>
        <v>93400</v>
      </c>
    </row>
    <row r="81" spans="4:14" ht="25.5" x14ac:dyDescent="0.2">
      <c r="D81" s="279" t="s">
        <v>629</v>
      </c>
      <c r="E81" s="196">
        <f>67000*2</f>
        <v>134000</v>
      </c>
      <c r="M81" s="342"/>
      <c r="N81" s="342"/>
    </row>
    <row r="82" spans="4:14" ht="25.5" x14ac:dyDescent="0.2">
      <c r="D82" s="281" t="s">
        <v>543</v>
      </c>
      <c r="E82" s="196">
        <f>25000*2</f>
        <v>50000</v>
      </c>
      <c r="N82" s="199"/>
    </row>
    <row r="83" spans="4:14" x14ac:dyDescent="0.2">
      <c r="N83" s="199"/>
    </row>
    <row r="84" spans="4:14" ht="24" customHeight="1" x14ac:dyDescent="0.2">
      <c r="D84" s="347" t="s">
        <v>373</v>
      </c>
      <c r="E84" s="347"/>
      <c r="N84" s="199"/>
    </row>
    <row r="85" spans="4:14" ht="15.95" customHeight="1" x14ac:dyDescent="0.2">
      <c r="D85" s="278" t="s">
        <v>252</v>
      </c>
      <c r="E85" s="195">
        <v>27000</v>
      </c>
      <c r="M85" s="206"/>
      <c r="N85" s="199"/>
    </row>
    <row r="86" spans="4:14" ht="15.95" customHeight="1" x14ac:dyDescent="0.2">
      <c r="D86" s="278" t="s">
        <v>253</v>
      </c>
      <c r="E86" s="195">
        <v>29200</v>
      </c>
      <c r="N86" s="199"/>
    </row>
    <row r="87" spans="4:14" ht="15.95" customHeight="1" x14ac:dyDescent="0.2">
      <c r="D87" s="278" t="s">
        <v>254</v>
      </c>
      <c r="E87" s="195">
        <v>29200</v>
      </c>
      <c r="M87" s="192"/>
      <c r="N87" s="199"/>
    </row>
    <row r="88" spans="4:14" ht="15.95" customHeight="1" x14ac:dyDescent="0.2">
      <c r="D88" s="279" t="s">
        <v>255</v>
      </c>
      <c r="E88" s="195">
        <v>145112</v>
      </c>
      <c r="M88" s="192"/>
      <c r="N88" s="199"/>
    </row>
    <row r="89" spans="4:14" ht="15.95" customHeight="1" x14ac:dyDescent="0.2">
      <c r="D89" s="278" t="s">
        <v>256</v>
      </c>
      <c r="E89" s="195">
        <v>12400</v>
      </c>
      <c r="G89" s="197"/>
      <c r="H89" s="197"/>
    </row>
    <row r="90" spans="4:14" ht="25.5" x14ac:dyDescent="0.2">
      <c r="D90" s="281" t="s">
        <v>544</v>
      </c>
      <c r="E90" s="196">
        <f>93400*2</f>
        <v>186800</v>
      </c>
      <c r="G90" s="197"/>
      <c r="H90" s="205"/>
    </row>
    <row r="91" spans="4:14" ht="25.5" x14ac:dyDescent="0.2">
      <c r="D91" s="281" t="s">
        <v>545</v>
      </c>
      <c r="E91" s="196">
        <f>45500*2</f>
        <v>91000</v>
      </c>
      <c r="G91" s="197"/>
      <c r="H91" s="205"/>
      <c r="J91" s="342"/>
      <c r="K91" s="342"/>
    </row>
    <row r="92" spans="4:14" x14ac:dyDescent="0.2">
      <c r="E92" s="199"/>
      <c r="G92" s="192"/>
      <c r="H92" s="205"/>
      <c r="K92" s="199"/>
    </row>
    <row r="93" spans="4:14" ht="24" customHeight="1" x14ac:dyDescent="0.2">
      <c r="D93" s="347" t="s">
        <v>374</v>
      </c>
      <c r="E93" s="347"/>
      <c r="G93" s="197"/>
      <c r="H93" s="205"/>
      <c r="K93" s="199"/>
    </row>
    <row r="94" spans="4:14" ht="15.95" customHeight="1" x14ac:dyDescent="0.2">
      <c r="D94" s="278" t="s">
        <v>252</v>
      </c>
      <c r="E94" s="195">
        <v>27000</v>
      </c>
      <c r="G94" s="192"/>
      <c r="H94" s="205"/>
      <c r="K94" s="199"/>
    </row>
    <row r="95" spans="4:14" ht="15.95" customHeight="1" x14ac:dyDescent="0.2">
      <c r="D95" s="278" t="s">
        <v>253</v>
      </c>
      <c r="E95" s="195">
        <v>29200</v>
      </c>
      <c r="J95" s="206"/>
      <c r="K95" s="199"/>
    </row>
    <row r="96" spans="4:14" ht="15.95" customHeight="1" x14ac:dyDescent="0.2">
      <c r="D96" s="278" t="s">
        <v>254</v>
      </c>
      <c r="E96" s="195">
        <v>29200</v>
      </c>
      <c r="J96" s="197"/>
      <c r="K96" s="199"/>
    </row>
    <row r="97" spans="4:11" ht="15.95" customHeight="1" x14ac:dyDescent="0.2">
      <c r="D97" s="279" t="s">
        <v>255</v>
      </c>
      <c r="E97" s="195">
        <v>145112</v>
      </c>
      <c r="J97" s="197"/>
      <c r="K97" s="199"/>
    </row>
    <row r="98" spans="4:11" ht="15.95" customHeight="1" x14ac:dyDescent="0.2">
      <c r="D98" s="278" t="s">
        <v>256</v>
      </c>
      <c r="E98" s="195">
        <v>12400</v>
      </c>
      <c r="J98" s="197"/>
      <c r="K98" s="199"/>
    </row>
    <row r="99" spans="4:11" ht="25.5" x14ac:dyDescent="0.2">
      <c r="D99" s="281" t="s">
        <v>546</v>
      </c>
      <c r="E99" s="196">
        <f>93400*2</f>
        <v>186800</v>
      </c>
    </row>
    <row r="100" spans="4:11" x14ac:dyDescent="0.2">
      <c r="E100" s="205"/>
    </row>
    <row r="101" spans="4:11" x14ac:dyDescent="0.2">
      <c r="E101" s="205"/>
    </row>
    <row r="102" spans="4:11" x14ac:dyDescent="0.2">
      <c r="E102" s="205"/>
    </row>
    <row r="103" spans="4:11" x14ac:dyDescent="0.2">
      <c r="D103" s="206"/>
      <c r="E103" s="205"/>
    </row>
    <row r="104" spans="4:11" x14ac:dyDescent="0.2">
      <c r="E104" s="205"/>
    </row>
    <row r="105" spans="4:11" x14ac:dyDescent="0.2">
      <c r="D105" s="192"/>
      <c r="E105" s="205"/>
    </row>
  </sheetData>
  <mergeCells count="61">
    <mergeCell ref="M43:N43"/>
    <mergeCell ref="J44:K44"/>
    <mergeCell ref="G44:H44"/>
    <mergeCell ref="A54:B54"/>
    <mergeCell ref="D54:E54"/>
    <mergeCell ref="A44:B44"/>
    <mergeCell ref="A64:B64"/>
    <mergeCell ref="D53:E53"/>
    <mergeCell ref="D64:E64"/>
    <mergeCell ref="D63:E63"/>
    <mergeCell ref="D44:E44"/>
    <mergeCell ref="A63:B63"/>
    <mergeCell ref="M12:N12"/>
    <mergeCell ref="A13:B13"/>
    <mergeCell ref="G13:H13"/>
    <mergeCell ref="D13:E13"/>
    <mergeCell ref="J13:K13"/>
    <mergeCell ref="M13:N13"/>
    <mergeCell ref="D93:E93"/>
    <mergeCell ref="M3:N3"/>
    <mergeCell ref="G3:H3"/>
    <mergeCell ref="M2:N2"/>
    <mergeCell ref="J2:K2"/>
    <mergeCell ref="G2:H2"/>
    <mergeCell ref="J91:K91"/>
    <mergeCell ref="J3:K3"/>
    <mergeCell ref="D33:E33"/>
    <mergeCell ref="G33:H33"/>
    <mergeCell ref="J33:K33"/>
    <mergeCell ref="J34:K34"/>
    <mergeCell ref="G34:H34"/>
    <mergeCell ref="D34:E34"/>
    <mergeCell ref="G43:H43"/>
    <mergeCell ref="M54:N54"/>
    <mergeCell ref="J23:K23"/>
    <mergeCell ref="A34:B34"/>
    <mergeCell ref="M22:N22"/>
    <mergeCell ref="G23:H23"/>
    <mergeCell ref="M23:N23"/>
    <mergeCell ref="A2:B2"/>
    <mergeCell ref="D2:E2"/>
    <mergeCell ref="A3:B3"/>
    <mergeCell ref="D3:E3"/>
    <mergeCell ref="A23:B23"/>
    <mergeCell ref="D23:E23"/>
    <mergeCell ref="M81:N81"/>
    <mergeCell ref="J30:J31"/>
    <mergeCell ref="K30:K31"/>
    <mergeCell ref="G64:H64"/>
    <mergeCell ref="D84:E84"/>
    <mergeCell ref="M33:N33"/>
    <mergeCell ref="M34:N34"/>
    <mergeCell ref="J43:K43"/>
    <mergeCell ref="J64:K64"/>
    <mergeCell ref="G74:H74"/>
    <mergeCell ref="M44:N44"/>
    <mergeCell ref="G54:H54"/>
    <mergeCell ref="J54:K54"/>
    <mergeCell ref="G73:H73"/>
    <mergeCell ref="G63:H63"/>
    <mergeCell ref="D74:E7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4"/>
  <sheetViews>
    <sheetView showGridLines="0" zoomScale="70" zoomScaleNormal="70" workbookViewId="0">
      <selection activeCell="D56" sqref="D56"/>
    </sheetView>
  </sheetViews>
  <sheetFormatPr baseColWidth="10" defaultColWidth="11.42578125" defaultRowHeight="15" x14ac:dyDescent="0.25"/>
  <cols>
    <col min="1" max="1" width="32.85546875" style="236" customWidth="1"/>
    <col min="2" max="2" width="13.85546875" style="236" customWidth="1"/>
    <col min="3" max="3" width="8.85546875" style="236" customWidth="1"/>
    <col min="4" max="4" width="32.85546875" style="236" customWidth="1"/>
    <col min="5" max="5" width="13.85546875" style="236" customWidth="1"/>
    <col min="6" max="6" width="8.85546875" style="236" customWidth="1"/>
    <col min="7" max="7" width="32.85546875" style="236" customWidth="1"/>
    <col min="8" max="8" width="13.85546875" style="236" customWidth="1"/>
    <col min="9" max="9" width="8.85546875" style="236" customWidth="1"/>
    <col min="10" max="10" width="32.85546875" style="236" customWidth="1"/>
    <col min="11" max="11" width="13.85546875" style="236" customWidth="1"/>
    <col min="12" max="12" width="8.85546875" style="236" customWidth="1"/>
    <col min="13" max="13" width="32.85546875" style="236" customWidth="1"/>
    <col min="14" max="14" width="13.85546875" style="236" customWidth="1"/>
    <col min="15" max="15" width="8.85546875" style="236" customWidth="1"/>
    <col min="16" max="16" width="32.85546875" style="236" customWidth="1"/>
    <col min="17" max="17" width="13.85546875" style="236" customWidth="1"/>
    <col min="18" max="18" width="8.85546875" style="236" customWidth="1"/>
    <col min="19" max="19" width="32.85546875" style="236" customWidth="1"/>
    <col min="20" max="20" width="13.85546875" style="236" customWidth="1"/>
    <col min="21" max="21" width="8.85546875" style="236" customWidth="1"/>
    <col min="22" max="22" width="19.140625" style="236" customWidth="1"/>
    <col min="23" max="23" width="11.42578125" style="236"/>
    <col min="24" max="24" width="19.140625" style="236" customWidth="1"/>
    <col min="25" max="16384" width="11.42578125" style="236"/>
  </cols>
  <sheetData>
    <row r="1" spans="1:23" s="189" customFormat="1" ht="34.700000000000003" customHeight="1" thickBot="1" x14ac:dyDescent="0.35">
      <c r="A1" s="357" t="s">
        <v>375</v>
      </c>
      <c r="B1" s="358"/>
      <c r="C1" s="233"/>
      <c r="D1" s="357" t="s">
        <v>376</v>
      </c>
      <c r="E1" s="358"/>
      <c r="F1" s="233"/>
      <c r="G1" s="357" t="s">
        <v>377</v>
      </c>
      <c r="H1" s="358"/>
      <c r="I1" s="233"/>
      <c r="J1" s="357" t="s">
        <v>378</v>
      </c>
      <c r="K1" s="358"/>
      <c r="L1" s="233"/>
      <c r="M1" s="357" t="s">
        <v>379</v>
      </c>
      <c r="N1" s="358"/>
      <c r="O1" s="233"/>
      <c r="P1" s="357" t="s">
        <v>380</v>
      </c>
      <c r="Q1" s="358"/>
      <c r="R1" s="233"/>
      <c r="S1" s="357" t="s">
        <v>381</v>
      </c>
      <c r="T1" s="358"/>
      <c r="U1" s="233"/>
      <c r="W1" s="190"/>
    </row>
    <row r="2" spans="1:23" ht="15.75" thickBot="1" x14ac:dyDescent="0.3"/>
    <row r="3" spans="1:23" ht="32.1" customHeight="1" thickBot="1" x14ac:dyDescent="0.35">
      <c r="A3" s="355" t="s">
        <v>382</v>
      </c>
      <c r="B3" s="356"/>
      <c r="C3" s="232"/>
      <c r="D3" s="355" t="s">
        <v>383</v>
      </c>
      <c r="E3" s="356"/>
      <c r="F3" s="232"/>
      <c r="G3" s="362" t="s">
        <v>498</v>
      </c>
      <c r="H3" s="363"/>
      <c r="I3" s="232"/>
      <c r="J3" s="355" t="s">
        <v>385</v>
      </c>
      <c r="K3" s="356"/>
      <c r="L3" s="232"/>
      <c r="M3" s="355" t="s">
        <v>386</v>
      </c>
      <c r="N3" s="356"/>
      <c r="O3" s="232"/>
      <c r="P3" s="362" t="s">
        <v>387</v>
      </c>
      <c r="Q3" s="363"/>
      <c r="R3" s="232"/>
      <c r="S3" s="362" t="s">
        <v>388</v>
      </c>
      <c r="T3" s="363"/>
      <c r="U3" s="232"/>
    </row>
    <row r="4" spans="1:23" ht="18" customHeight="1" x14ac:dyDescent="0.25">
      <c r="A4" s="309" t="s">
        <v>252</v>
      </c>
      <c r="B4" s="297">
        <v>10000</v>
      </c>
      <c r="D4" s="237" t="s">
        <v>252</v>
      </c>
      <c r="E4" s="248">
        <v>10000</v>
      </c>
      <c r="G4" s="237" t="s">
        <v>252</v>
      </c>
      <c r="H4" s="291">
        <v>15600</v>
      </c>
      <c r="J4" s="237" t="s">
        <v>252</v>
      </c>
      <c r="K4" s="248">
        <v>10000</v>
      </c>
      <c r="M4" s="237" t="s">
        <v>252</v>
      </c>
      <c r="N4" s="248">
        <v>10000</v>
      </c>
      <c r="P4" s="237" t="s">
        <v>252</v>
      </c>
      <c r="Q4" s="291">
        <v>10000</v>
      </c>
      <c r="S4" s="237" t="s">
        <v>252</v>
      </c>
      <c r="T4" s="291">
        <v>10000</v>
      </c>
    </row>
    <row r="5" spans="1:23" ht="18" customHeight="1" x14ac:dyDescent="0.25">
      <c r="A5" s="292" t="s">
        <v>253</v>
      </c>
      <c r="B5" s="240">
        <v>15000</v>
      </c>
      <c r="D5" s="237" t="s">
        <v>253</v>
      </c>
      <c r="E5" s="291">
        <v>15000</v>
      </c>
      <c r="G5" s="237" t="s">
        <v>253</v>
      </c>
      <c r="H5" s="291">
        <v>27000</v>
      </c>
      <c r="J5" s="237" t="s">
        <v>253</v>
      </c>
      <c r="K5" s="291">
        <v>15000</v>
      </c>
      <c r="M5" s="237" t="s">
        <v>253</v>
      </c>
      <c r="N5" s="291">
        <v>15000</v>
      </c>
      <c r="P5" s="237" t="s">
        <v>253</v>
      </c>
      <c r="Q5" s="291">
        <v>15000</v>
      </c>
      <c r="S5" s="237" t="s">
        <v>253</v>
      </c>
      <c r="T5" s="291">
        <v>15000</v>
      </c>
    </row>
    <row r="6" spans="1:23" ht="18" customHeight="1" x14ac:dyDescent="0.25">
      <c r="A6" s="292" t="s">
        <v>254</v>
      </c>
      <c r="B6" s="240">
        <v>15000</v>
      </c>
      <c r="D6" s="237" t="s">
        <v>254</v>
      </c>
      <c r="E6" s="291">
        <v>15000</v>
      </c>
      <c r="G6" s="237" t="s">
        <v>254</v>
      </c>
      <c r="H6" s="291">
        <v>27000</v>
      </c>
      <c r="J6" s="237" t="s">
        <v>254</v>
      </c>
      <c r="K6" s="291">
        <v>15000</v>
      </c>
      <c r="M6" s="237" t="s">
        <v>254</v>
      </c>
      <c r="N6" s="291">
        <v>15000</v>
      </c>
      <c r="P6" s="237" t="s">
        <v>254</v>
      </c>
      <c r="Q6" s="291">
        <v>15000</v>
      </c>
      <c r="S6" s="237" t="s">
        <v>254</v>
      </c>
      <c r="T6" s="291">
        <v>15000</v>
      </c>
    </row>
    <row r="7" spans="1:23" ht="18" customHeight="1" x14ac:dyDescent="0.25">
      <c r="A7" s="300" t="s">
        <v>255</v>
      </c>
      <c r="B7" s="240">
        <v>60000</v>
      </c>
      <c r="D7" s="239" t="s">
        <v>255</v>
      </c>
      <c r="E7" s="291">
        <v>60000</v>
      </c>
      <c r="G7" s="239" t="s">
        <v>255</v>
      </c>
      <c r="H7" s="291">
        <v>80000</v>
      </c>
      <c r="J7" s="239" t="s">
        <v>255</v>
      </c>
      <c r="K7" s="291">
        <v>60000</v>
      </c>
      <c r="M7" s="239" t="s">
        <v>255</v>
      </c>
      <c r="N7" s="291">
        <v>60000</v>
      </c>
      <c r="P7" s="239" t="s">
        <v>255</v>
      </c>
      <c r="Q7" s="291">
        <v>60000</v>
      </c>
      <c r="S7" s="239" t="s">
        <v>255</v>
      </c>
      <c r="T7" s="291">
        <v>60000</v>
      </c>
    </row>
    <row r="8" spans="1:23" ht="18" customHeight="1" x14ac:dyDescent="0.25">
      <c r="A8" s="292" t="s">
        <v>256</v>
      </c>
      <c r="B8" s="240">
        <v>10400</v>
      </c>
      <c r="D8" s="292" t="s">
        <v>256</v>
      </c>
      <c r="E8" s="240">
        <v>10400</v>
      </c>
      <c r="G8" s="237" t="s">
        <v>256</v>
      </c>
      <c r="H8" s="240">
        <v>10400</v>
      </c>
      <c r="J8" s="237" t="s">
        <v>256</v>
      </c>
      <c r="K8" s="240">
        <v>10400</v>
      </c>
      <c r="M8" s="237" t="s">
        <v>256</v>
      </c>
      <c r="N8" s="240">
        <v>10400</v>
      </c>
      <c r="P8" s="237" t="s">
        <v>256</v>
      </c>
      <c r="Q8" s="240">
        <v>10400</v>
      </c>
      <c r="S8" s="237" t="s">
        <v>256</v>
      </c>
      <c r="T8" s="240">
        <v>10400</v>
      </c>
    </row>
    <row r="9" spans="1:23" ht="26.25" customHeight="1" x14ac:dyDescent="0.25">
      <c r="A9" s="293" t="s">
        <v>583</v>
      </c>
      <c r="B9" s="240">
        <f>18700*2</f>
        <v>37400</v>
      </c>
      <c r="D9" s="293" t="s">
        <v>582</v>
      </c>
      <c r="E9" s="240">
        <f>22800*2</f>
        <v>45600</v>
      </c>
      <c r="G9" s="298" t="s">
        <v>499</v>
      </c>
      <c r="H9" s="240">
        <f>68600*2</f>
        <v>137200</v>
      </c>
      <c r="J9" s="294" t="s">
        <v>603</v>
      </c>
      <c r="K9" s="240">
        <f>15000*2</f>
        <v>30000</v>
      </c>
      <c r="M9" s="303" t="s">
        <v>609</v>
      </c>
      <c r="N9" s="240">
        <f>9200*2</f>
        <v>18400</v>
      </c>
      <c r="P9" s="303" t="s">
        <v>614</v>
      </c>
      <c r="Q9" s="240">
        <f>18700*2</f>
        <v>37400</v>
      </c>
      <c r="S9" s="303" t="s">
        <v>619</v>
      </c>
      <c r="T9" s="240">
        <f>20700*2</f>
        <v>41400</v>
      </c>
    </row>
    <row r="10" spans="1:23" ht="18" customHeight="1" thickBot="1" x14ac:dyDescent="0.3"/>
    <row r="11" spans="1:23" ht="32.1" customHeight="1" thickBot="1" x14ac:dyDescent="0.35">
      <c r="A11" s="355" t="s">
        <v>389</v>
      </c>
      <c r="B11" s="356"/>
      <c r="C11" s="232"/>
      <c r="D11" s="355" t="s">
        <v>390</v>
      </c>
      <c r="E11" s="356"/>
      <c r="F11" s="232"/>
      <c r="G11" s="362" t="s">
        <v>384</v>
      </c>
      <c r="H11" s="363"/>
      <c r="I11" s="232"/>
      <c r="J11" s="355" t="s">
        <v>392</v>
      </c>
      <c r="K11" s="356"/>
      <c r="L11" s="232"/>
      <c r="M11" s="355" t="s">
        <v>393</v>
      </c>
      <c r="N11" s="356"/>
      <c r="O11" s="232"/>
      <c r="P11" s="362" t="s">
        <v>394</v>
      </c>
      <c r="Q11" s="363"/>
      <c r="R11" s="232"/>
      <c r="S11" s="362" t="s">
        <v>395</v>
      </c>
      <c r="T11" s="363"/>
      <c r="U11" s="232"/>
    </row>
    <row r="12" spans="1:23" ht="18" customHeight="1" x14ac:dyDescent="0.25">
      <c r="A12" s="309" t="s">
        <v>252</v>
      </c>
      <c r="B12" s="297">
        <v>10000</v>
      </c>
      <c r="D12" s="237" t="s">
        <v>252</v>
      </c>
      <c r="E12" s="248">
        <v>10000</v>
      </c>
      <c r="G12" s="237" t="s">
        <v>252</v>
      </c>
      <c r="H12" s="248">
        <v>10000</v>
      </c>
      <c r="J12" s="237" t="s">
        <v>252</v>
      </c>
      <c r="K12" s="248">
        <v>10000</v>
      </c>
      <c r="M12" s="237" t="s">
        <v>252</v>
      </c>
      <c r="N12" s="291">
        <v>12000</v>
      </c>
      <c r="P12" s="237" t="s">
        <v>252</v>
      </c>
      <c r="Q12" s="291">
        <v>10000</v>
      </c>
      <c r="S12" s="237" t="s">
        <v>252</v>
      </c>
      <c r="T12" s="291">
        <v>10000</v>
      </c>
    </row>
    <row r="13" spans="1:23" ht="18" customHeight="1" x14ac:dyDescent="0.25">
      <c r="A13" s="292" t="s">
        <v>253</v>
      </c>
      <c r="B13" s="240">
        <v>15000</v>
      </c>
      <c r="D13" s="237" t="s">
        <v>253</v>
      </c>
      <c r="E13" s="291">
        <v>15000</v>
      </c>
      <c r="G13" s="237" t="s">
        <v>253</v>
      </c>
      <c r="H13" s="291">
        <v>15000</v>
      </c>
      <c r="J13" s="237" t="s">
        <v>253</v>
      </c>
      <c r="K13" s="291">
        <v>15000</v>
      </c>
      <c r="M13" s="237" t="s">
        <v>253</v>
      </c>
      <c r="N13" s="291">
        <v>20000</v>
      </c>
      <c r="P13" s="237" t="s">
        <v>253</v>
      </c>
      <c r="Q13" s="291">
        <v>15000</v>
      </c>
      <c r="S13" s="237" t="s">
        <v>253</v>
      </c>
      <c r="T13" s="291">
        <v>15000</v>
      </c>
    </row>
    <row r="14" spans="1:23" ht="18" customHeight="1" x14ac:dyDescent="0.25">
      <c r="A14" s="292" t="s">
        <v>254</v>
      </c>
      <c r="B14" s="240">
        <v>15000</v>
      </c>
      <c r="D14" s="237" t="s">
        <v>254</v>
      </c>
      <c r="E14" s="291">
        <v>15000</v>
      </c>
      <c r="G14" s="237" t="s">
        <v>254</v>
      </c>
      <c r="H14" s="291">
        <v>15000</v>
      </c>
      <c r="J14" s="237" t="s">
        <v>254</v>
      </c>
      <c r="K14" s="291">
        <v>15000</v>
      </c>
      <c r="M14" s="237" t="s">
        <v>254</v>
      </c>
      <c r="N14" s="291">
        <v>20000</v>
      </c>
      <c r="P14" s="237" t="s">
        <v>254</v>
      </c>
      <c r="Q14" s="291">
        <v>15000</v>
      </c>
      <c r="S14" s="237" t="s">
        <v>254</v>
      </c>
      <c r="T14" s="291">
        <v>15000</v>
      </c>
    </row>
    <row r="15" spans="1:23" ht="18" customHeight="1" x14ac:dyDescent="0.25">
      <c r="A15" s="300" t="s">
        <v>255</v>
      </c>
      <c r="B15" s="240">
        <v>60000</v>
      </c>
      <c r="D15" s="239" t="s">
        <v>255</v>
      </c>
      <c r="E15" s="291">
        <v>60000</v>
      </c>
      <c r="G15" s="239" t="s">
        <v>255</v>
      </c>
      <c r="H15" s="291">
        <v>60000</v>
      </c>
      <c r="J15" s="239" t="s">
        <v>255</v>
      </c>
      <c r="K15" s="291">
        <v>60000</v>
      </c>
      <c r="M15" s="239" t="s">
        <v>255</v>
      </c>
      <c r="N15" s="240">
        <v>78702</v>
      </c>
      <c r="P15" s="239" t="s">
        <v>255</v>
      </c>
      <c r="Q15" s="291">
        <v>60000</v>
      </c>
      <c r="S15" s="239" t="s">
        <v>255</v>
      </c>
      <c r="T15" s="291">
        <v>60000</v>
      </c>
    </row>
    <row r="16" spans="1:23" ht="18" customHeight="1" x14ac:dyDescent="0.25">
      <c r="A16" s="292" t="s">
        <v>256</v>
      </c>
      <c r="B16" s="240">
        <v>10400</v>
      </c>
      <c r="D16" s="292" t="s">
        <v>256</v>
      </c>
      <c r="E16" s="240">
        <v>10400</v>
      </c>
      <c r="G16" s="237" t="s">
        <v>256</v>
      </c>
      <c r="H16" s="240">
        <v>10400</v>
      </c>
      <c r="J16" s="237" t="s">
        <v>256</v>
      </c>
      <c r="K16" s="240">
        <v>10400</v>
      </c>
      <c r="M16" s="237" t="s">
        <v>256</v>
      </c>
      <c r="N16" s="240">
        <v>10400</v>
      </c>
      <c r="P16" s="237" t="s">
        <v>256</v>
      </c>
      <c r="Q16" s="240">
        <v>10400</v>
      </c>
      <c r="S16" s="237" t="s">
        <v>256</v>
      </c>
      <c r="T16" s="240">
        <v>10400</v>
      </c>
    </row>
    <row r="17" spans="1:21" ht="37.35" customHeight="1" x14ac:dyDescent="0.25">
      <c r="A17" s="293" t="s">
        <v>583</v>
      </c>
      <c r="B17" s="240">
        <f>18700*2</f>
        <v>37400</v>
      </c>
      <c r="D17" s="293" t="s">
        <v>585</v>
      </c>
      <c r="E17" s="296">
        <f>24900*2</f>
        <v>49800</v>
      </c>
      <c r="G17" s="293" t="s">
        <v>592</v>
      </c>
      <c r="H17" s="240">
        <f>6200*2</f>
        <v>12400</v>
      </c>
      <c r="J17" s="294" t="s">
        <v>604</v>
      </c>
      <c r="K17" s="296">
        <f>19000*2</f>
        <v>38000</v>
      </c>
      <c r="M17" s="303" t="s">
        <v>610</v>
      </c>
      <c r="N17" s="296">
        <f>12400*2</f>
        <v>24800</v>
      </c>
      <c r="P17" s="303" t="s">
        <v>615</v>
      </c>
      <c r="Q17" s="240">
        <f>22800*2</f>
        <v>45600</v>
      </c>
      <c r="S17" s="303" t="s">
        <v>620</v>
      </c>
      <c r="T17" s="240">
        <f>39400*2</f>
        <v>78800</v>
      </c>
    </row>
    <row r="18" spans="1:21" ht="30.6" customHeight="1" thickBot="1" x14ac:dyDescent="0.3">
      <c r="A18" s="241"/>
      <c r="B18" s="242"/>
      <c r="D18" s="241"/>
      <c r="E18" s="243"/>
      <c r="G18" s="241"/>
      <c r="H18" s="243"/>
      <c r="J18" s="244"/>
      <c r="K18" s="243"/>
      <c r="M18" s="244"/>
      <c r="N18" s="243"/>
      <c r="P18" s="244"/>
      <c r="Q18" s="242"/>
      <c r="S18" s="244"/>
      <c r="T18" s="242"/>
    </row>
    <row r="19" spans="1:21" ht="21.2" customHeight="1" thickBot="1" x14ac:dyDescent="0.3">
      <c r="A19" s="241"/>
      <c r="B19" s="242"/>
      <c r="D19" s="241"/>
      <c r="E19" s="243"/>
      <c r="J19" s="357" t="s">
        <v>397</v>
      </c>
      <c r="K19" s="358"/>
      <c r="M19" s="357" t="s">
        <v>398</v>
      </c>
      <c r="N19" s="358"/>
      <c r="P19" s="244"/>
      <c r="Q19" s="242"/>
      <c r="S19" s="244"/>
      <c r="T19" s="242"/>
    </row>
    <row r="20" spans="1:21" ht="32.1" customHeight="1" thickBot="1" x14ac:dyDescent="0.35">
      <c r="A20" s="362" t="s">
        <v>399</v>
      </c>
      <c r="B20" s="363"/>
      <c r="C20" s="232"/>
      <c r="D20" s="355" t="s">
        <v>400</v>
      </c>
      <c r="E20" s="356"/>
      <c r="F20" s="232"/>
      <c r="G20" s="362" t="s">
        <v>391</v>
      </c>
      <c r="H20" s="363"/>
      <c r="I20" s="232"/>
      <c r="J20" s="355" t="s">
        <v>402</v>
      </c>
      <c r="K20" s="356"/>
      <c r="L20" s="232"/>
      <c r="M20" s="355" t="s">
        <v>403</v>
      </c>
      <c r="N20" s="356"/>
      <c r="O20" s="232"/>
      <c r="P20" s="362" t="s">
        <v>404</v>
      </c>
      <c r="Q20" s="363"/>
      <c r="R20" s="232"/>
      <c r="S20" s="355" t="s">
        <v>405</v>
      </c>
      <c r="T20" s="356"/>
      <c r="U20" s="232"/>
    </row>
    <row r="21" spans="1:21" ht="18" customHeight="1" x14ac:dyDescent="0.25">
      <c r="A21" s="292" t="s">
        <v>252</v>
      </c>
      <c r="B21" s="240">
        <v>10000</v>
      </c>
      <c r="D21" s="292" t="s">
        <v>252</v>
      </c>
      <c r="E21" s="291">
        <v>10000</v>
      </c>
      <c r="G21" s="237" t="s">
        <v>252</v>
      </c>
      <c r="H21" s="291">
        <v>15600</v>
      </c>
      <c r="J21" s="292" t="s">
        <v>252</v>
      </c>
      <c r="K21" s="297">
        <v>10000</v>
      </c>
      <c r="M21" s="292" t="s">
        <v>252</v>
      </c>
      <c r="N21" s="297">
        <v>10000</v>
      </c>
      <c r="P21" s="237" t="s">
        <v>252</v>
      </c>
      <c r="Q21" s="291">
        <v>12000</v>
      </c>
      <c r="S21" s="309" t="s">
        <v>252</v>
      </c>
      <c r="T21" s="297">
        <v>10000</v>
      </c>
    </row>
    <row r="22" spans="1:21" s="238" customFormat="1" ht="18" customHeight="1" x14ac:dyDescent="0.25">
      <c r="A22" s="292" t="s">
        <v>253</v>
      </c>
      <c r="B22" s="240">
        <v>15000</v>
      </c>
      <c r="C22" s="236"/>
      <c r="D22" s="237" t="s">
        <v>253</v>
      </c>
      <c r="E22" s="291">
        <v>15000</v>
      </c>
      <c r="F22" s="236"/>
      <c r="G22" s="237" t="s">
        <v>253</v>
      </c>
      <c r="H22" s="291">
        <v>27000</v>
      </c>
      <c r="I22" s="236"/>
      <c r="J22" s="237" t="s">
        <v>253</v>
      </c>
      <c r="K22" s="291">
        <v>15000</v>
      </c>
      <c r="L22" s="236"/>
      <c r="M22" s="237" t="s">
        <v>253</v>
      </c>
      <c r="N22" s="291">
        <v>15000</v>
      </c>
      <c r="O22" s="236"/>
      <c r="P22" s="237" t="s">
        <v>253</v>
      </c>
      <c r="Q22" s="291">
        <v>20000</v>
      </c>
      <c r="R22" s="236"/>
      <c r="S22" s="237" t="s">
        <v>253</v>
      </c>
      <c r="T22" s="291">
        <v>15000</v>
      </c>
      <c r="U22" s="236"/>
    </row>
    <row r="23" spans="1:21" ht="18" customHeight="1" x14ac:dyDescent="0.25">
      <c r="A23" s="292" t="s">
        <v>254</v>
      </c>
      <c r="B23" s="240">
        <v>15000</v>
      </c>
      <c r="D23" s="237" t="s">
        <v>254</v>
      </c>
      <c r="E23" s="291">
        <v>15000</v>
      </c>
      <c r="G23" s="237" t="s">
        <v>254</v>
      </c>
      <c r="H23" s="291">
        <v>27000</v>
      </c>
      <c r="J23" s="237" t="s">
        <v>254</v>
      </c>
      <c r="K23" s="291">
        <v>15000</v>
      </c>
      <c r="M23" s="237" t="s">
        <v>254</v>
      </c>
      <c r="N23" s="291">
        <v>15000</v>
      </c>
      <c r="P23" s="237" t="s">
        <v>254</v>
      </c>
      <c r="Q23" s="291">
        <v>20000</v>
      </c>
      <c r="S23" s="237" t="s">
        <v>254</v>
      </c>
      <c r="T23" s="291">
        <v>15000</v>
      </c>
    </row>
    <row r="24" spans="1:21" ht="18" customHeight="1" x14ac:dyDescent="0.25">
      <c r="A24" s="300" t="s">
        <v>255</v>
      </c>
      <c r="B24" s="240">
        <v>60000</v>
      </c>
      <c r="D24" s="239" t="s">
        <v>255</v>
      </c>
      <c r="E24" s="291">
        <v>60000</v>
      </c>
      <c r="G24" s="239" t="s">
        <v>396</v>
      </c>
      <c r="H24" s="291">
        <v>80000</v>
      </c>
      <c r="J24" s="239" t="s">
        <v>255</v>
      </c>
      <c r="K24" s="291">
        <v>60000</v>
      </c>
      <c r="M24" s="239" t="s">
        <v>255</v>
      </c>
      <c r="N24" s="291">
        <v>60000</v>
      </c>
      <c r="P24" s="239" t="s">
        <v>255</v>
      </c>
      <c r="Q24" s="291">
        <v>80000</v>
      </c>
      <c r="S24" s="239" t="s">
        <v>255</v>
      </c>
      <c r="T24" s="291">
        <v>60000</v>
      </c>
    </row>
    <row r="25" spans="1:21" ht="28.7" customHeight="1" x14ac:dyDescent="0.25">
      <c r="A25" s="295" t="s">
        <v>256</v>
      </c>
      <c r="B25" s="240">
        <v>10400</v>
      </c>
      <c r="D25" s="292" t="s">
        <v>256</v>
      </c>
      <c r="E25" s="240">
        <v>10400</v>
      </c>
      <c r="G25" s="237" t="s">
        <v>256</v>
      </c>
      <c r="H25" s="240">
        <v>10400</v>
      </c>
      <c r="J25" s="292" t="s">
        <v>256</v>
      </c>
      <c r="K25" s="240">
        <v>10400</v>
      </c>
      <c r="M25" s="237" t="s">
        <v>256</v>
      </c>
      <c r="N25" s="240">
        <v>10400</v>
      </c>
      <c r="P25" s="237" t="s">
        <v>256</v>
      </c>
      <c r="Q25" s="240">
        <v>10400</v>
      </c>
      <c r="S25" s="237" t="s">
        <v>256</v>
      </c>
      <c r="T25" s="240">
        <v>10400</v>
      </c>
    </row>
    <row r="26" spans="1:21" ht="40.35" customHeight="1" x14ac:dyDescent="0.25">
      <c r="A26" s="293" t="s">
        <v>584</v>
      </c>
      <c r="B26" s="296">
        <f>10400*2</f>
        <v>20800</v>
      </c>
      <c r="D26" s="293" t="s">
        <v>589</v>
      </c>
      <c r="E26" s="240">
        <f>25900*2</f>
        <v>51800</v>
      </c>
      <c r="G26" s="293" t="s">
        <v>593</v>
      </c>
      <c r="H26" s="240">
        <f>13800*2</f>
        <v>27600</v>
      </c>
      <c r="J26" s="294" t="s">
        <v>605</v>
      </c>
      <c r="K26" s="240">
        <f>10400*2</f>
        <v>20800</v>
      </c>
      <c r="M26" s="303" t="s">
        <v>606</v>
      </c>
      <c r="N26" s="240">
        <f>19000*2</f>
        <v>38000</v>
      </c>
      <c r="P26" s="303" t="s">
        <v>605</v>
      </c>
      <c r="Q26" s="240">
        <f>10400*2</f>
        <v>20800</v>
      </c>
      <c r="S26" s="303" t="s">
        <v>621</v>
      </c>
      <c r="T26" s="240">
        <f>24400*2</f>
        <v>48800</v>
      </c>
    </row>
    <row r="27" spans="1:21" ht="39.6" customHeight="1" thickBot="1" x14ac:dyDescent="0.3">
      <c r="G27" s="299" t="s">
        <v>594</v>
      </c>
      <c r="H27" s="240">
        <f>57000*2</f>
        <v>114000</v>
      </c>
    </row>
    <row r="28" spans="1:21" ht="32.1" customHeight="1" thickBot="1" x14ac:dyDescent="0.35">
      <c r="A28" s="362" t="s">
        <v>406</v>
      </c>
      <c r="B28" s="363"/>
      <c r="C28" s="232"/>
      <c r="D28" s="355" t="s">
        <v>407</v>
      </c>
      <c r="E28" s="356"/>
      <c r="F28" s="232"/>
      <c r="I28" s="232"/>
      <c r="J28" s="355" t="s">
        <v>409</v>
      </c>
      <c r="K28" s="356"/>
      <c r="L28" s="232"/>
      <c r="M28" s="355" t="s">
        <v>410</v>
      </c>
      <c r="N28" s="356"/>
      <c r="O28" s="232"/>
      <c r="P28" s="362" t="s">
        <v>411</v>
      </c>
      <c r="Q28" s="363"/>
      <c r="R28" s="232"/>
      <c r="S28" s="355" t="s">
        <v>412</v>
      </c>
      <c r="T28" s="356"/>
      <c r="U28" s="232"/>
    </row>
    <row r="29" spans="1:21" ht="29.45" customHeight="1" x14ac:dyDescent="0.25">
      <c r="A29" s="292" t="s">
        <v>252</v>
      </c>
      <c r="B29" s="240">
        <v>10000</v>
      </c>
      <c r="D29" s="292" t="s">
        <v>252</v>
      </c>
      <c r="E29" s="240">
        <v>10000</v>
      </c>
      <c r="G29" s="362" t="s">
        <v>401</v>
      </c>
      <c r="H29" s="363"/>
      <c r="J29" s="292" t="s">
        <v>252</v>
      </c>
      <c r="K29" s="297">
        <v>10000</v>
      </c>
      <c r="M29" s="292" t="s">
        <v>252</v>
      </c>
      <c r="N29" s="296">
        <v>12000</v>
      </c>
      <c r="P29" s="237" t="s">
        <v>252</v>
      </c>
      <c r="Q29" s="291">
        <v>10000</v>
      </c>
      <c r="S29" s="309" t="s">
        <v>252</v>
      </c>
      <c r="T29" s="297">
        <v>10000</v>
      </c>
    </row>
    <row r="30" spans="1:21" ht="18" customHeight="1" x14ac:dyDescent="0.25">
      <c r="A30" s="292" t="s">
        <v>253</v>
      </c>
      <c r="B30" s="240">
        <v>15000</v>
      </c>
      <c r="D30" s="237" t="s">
        <v>253</v>
      </c>
      <c r="E30" s="291">
        <v>15000</v>
      </c>
      <c r="G30" s="237" t="s">
        <v>252</v>
      </c>
      <c r="H30" s="248">
        <v>10000</v>
      </c>
      <c r="J30" s="237" t="s">
        <v>253</v>
      </c>
      <c r="K30" s="291">
        <v>15000</v>
      </c>
      <c r="M30" s="237" t="s">
        <v>253</v>
      </c>
      <c r="N30" s="301">
        <v>20000</v>
      </c>
      <c r="P30" s="237" t="s">
        <v>253</v>
      </c>
      <c r="Q30" s="291">
        <v>15000</v>
      </c>
      <c r="S30" s="237" t="s">
        <v>253</v>
      </c>
      <c r="T30" s="291">
        <v>15000</v>
      </c>
    </row>
    <row r="31" spans="1:21" ht="18" customHeight="1" x14ac:dyDescent="0.25">
      <c r="A31" s="292" t="s">
        <v>254</v>
      </c>
      <c r="B31" s="240">
        <v>15000</v>
      </c>
      <c r="D31" s="237" t="s">
        <v>254</v>
      </c>
      <c r="E31" s="291">
        <v>15000</v>
      </c>
      <c r="G31" s="237" t="s">
        <v>253</v>
      </c>
      <c r="H31" s="291">
        <v>15000</v>
      </c>
      <c r="J31" s="237" t="s">
        <v>254</v>
      </c>
      <c r="K31" s="291">
        <v>15000</v>
      </c>
      <c r="M31" s="237" t="s">
        <v>254</v>
      </c>
      <c r="N31" s="301">
        <v>20000</v>
      </c>
      <c r="P31" s="237" t="s">
        <v>254</v>
      </c>
      <c r="Q31" s="291">
        <v>15000</v>
      </c>
      <c r="S31" s="237" t="s">
        <v>254</v>
      </c>
      <c r="T31" s="291">
        <v>15000</v>
      </c>
    </row>
    <row r="32" spans="1:21" ht="18" customHeight="1" x14ac:dyDescent="0.25">
      <c r="A32" s="300" t="s">
        <v>255</v>
      </c>
      <c r="B32" s="240">
        <v>60000</v>
      </c>
      <c r="D32" s="239" t="s">
        <v>255</v>
      </c>
      <c r="E32" s="291">
        <v>60000</v>
      </c>
      <c r="G32" s="292" t="s">
        <v>254</v>
      </c>
      <c r="H32" s="291">
        <v>15000</v>
      </c>
      <c r="J32" s="239" t="s">
        <v>255</v>
      </c>
      <c r="K32" s="291">
        <v>60000</v>
      </c>
      <c r="M32" s="239" t="s">
        <v>255</v>
      </c>
      <c r="N32" s="296">
        <v>80000</v>
      </c>
      <c r="P32" s="239" t="s">
        <v>255</v>
      </c>
      <c r="Q32" s="291">
        <v>60000</v>
      </c>
      <c r="S32" s="239" t="s">
        <v>255</v>
      </c>
      <c r="T32" s="291">
        <v>60000</v>
      </c>
    </row>
    <row r="33" spans="1:21" ht="18" customHeight="1" x14ac:dyDescent="0.25">
      <c r="A33" s="295" t="s">
        <v>256</v>
      </c>
      <c r="B33" s="240">
        <v>10400</v>
      </c>
      <c r="D33" s="292" t="s">
        <v>256</v>
      </c>
      <c r="E33" s="240">
        <v>10400</v>
      </c>
      <c r="G33" s="239" t="s">
        <v>255</v>
      </c>
      <c r="H33" s="291">
        <v>60000</v>
      </c>
      <c r="J33" s="237" t="s">
        <v>256</v>
      </c>
      <c r="K33" s="240">
        <v>10400</v>
      </c>
      <c r="M33" s="292" t="s">
        <v>256</v>
      </c>
      <c r="N33" s="296">
        <v>15570</v>
      </c>
      <c r="P33" s="237" t="s">
        <v>256</v>
      </c>
      <c r="Q33" s="240">
        <v>10400</v>
      </c>
      <c r="S33" s="237" t="s">
        <v>256</v>
      </c>
      <c r="T33" s="240">
        <v>10400</v>
      </c>
    </row>
    <row r="34" spans="1:21" ht="26.85" customHeight="1" x14ac:dyDescent="0.25">
      <c r="A34" s="293" t="s">
        <v>585</v>
      </c>
      <c r="B34" s="296">
        <f>24900*2</f>
        <v>49800</v>
      </c>
      <c r="D34" s="293" t="s">
        <v>590</v>
      </c>
      <c r="E34" s="240">
        <f>22800*2</f>
        <v>45600</v>
      </c>
      <c r="G34" s="237" t="s">
        <v>256</v>
      </c>
      <c r="H34" s="240">
        <v>10400</v>
      </c>
      <c r="J34" s="293" t="s">
        <v>606</v>
      </c>
      <c r="K34" s="296">
        <f>19000*2</f>
        <v>38000</v>
      </c>
      <c r="M34" s="298" t="s">
        <v>497</v>
      </c>
      <c r="N34" s="296">
        <f>15600*2</f>
        <v>31200</v>
      </c>
      <c r="P34" s="303" t="s">
        <v>605</v>
      </c>
      <c r="Q34" s="240">
        <f>10400*2</f>
        <v>20800</v>
      </c>
      <c r="S34" s="305" t="s">
        <v>616</v>
      </c>
      <c r="T34" s="296">
        <f>10900*2</f>
        <v>21800</v>
      </c>
    </row>
    <row r="35" spans="1:21" s="245" customFormat="1" ht="29.45" customHeight="1" thickBot="1" x14ac:dyDescent="0.3">
      <c r="C35" s="236"/>
      <c r="F35" s="236"/>
      <c r="G35" s="294" t="s">
        <v>595</v>
      </c>
      <c r="H35" s="240">
        <f>13500*2</f>
        <v>27000</v>
      </c>
      <c r="I35" s="236"/>
      <c r="L35" s="236"/>
      <c r="M35" s="304" t="s">
        <v>611</v>
      </c>
      <c r="N35" s="296">
        <f>15600*2</f>
        <v>31200</v>
      </c>
      <c r="O35" s="236"/>
      <c r="R35" s="236"/>
      <c r="U35" s="236"/>
    </row>
    <row r="36" spans="1:21" ht="28.35" customHeight="1" thickBot="1" x14ac:dyDescent="0.35">
      <c r="G36" s="245"/>
      <c r="H36" s="245"/>
      <c r="K36" s="246"/>
      <c r="Q36" s="246"/>
      <c r="S36" s="360" t="s">
        <v>416</v>
      </c>
      <c r="T36" s="361"/>
    </row>
    <row r="37" spans="1:21" ht="32.1" customHeight="1" thickBot="1" x14ac:dyDescent="0.3">
      <c r="A37" s="355" t="s">
        <v>413</v>
      </c>
      <c r="B37" s="356"/>
      <c r="D37" s="355" t="s">
        <v>417</v>
      </c>
      <c r="E37" s="356"/>
      <c r="G37" s="355" t="s">
        <v>408</v>
      </c>
      <c r="H37" s="356"/>
      <c r="J37" s="355" t="s">
        <v>500</v>
      </c>
      <c r="K37" s="356"/>
      <c r="M37" s="355" t="s">
        <v>420</v>
      </c>
      <c r="N37" s="356"/>
      <c r="P37" s="355" t="s">
        <v>421</v>
      </c>
      <c r="Q37" s="356"/>
      <c r="S37" s="355" t="s">
        <v>422</v>
      </c>
      <c r="T37" s="356"/>
    </row>
    <row r="38" spans="1:21" ht="18" customHeight="1" x14ac:dyDescent="0.25">
      <c r="A38" s="237" t="s">
        <v>252</v>
      </c>
      <c r="B38" s="248">
        <v>10000</v>
      </c>
      <c r="D38" s="290" t="s">
        <v>252</v>
      </c>
      <c r="E38" s="248">
        <v>10000</v>
      </c>
      <c r="G38" s="290" t="s">
        <v>252</v>
      </c>
      <c r="H38" s="248">
        <v>10000</v>
      </c>
      <c r="J38" s="292" t="s">
        <v>252</v>
      </c>
      <c r="K38" s="297">
        <v>10000</v>
      </c>
      <c r="M38" s="290" t="s">
        <v>252</v>
      </c>
      <c r="N38" s="248">
        <v>10000</v>
      </c>
      <c r="P38" s="237" t="s">
        <v>252</v>
      </c>
      <c r="Q38" s="291">
        <v>10000</v>
      </c>
      <c r="S38" s="237" t="s">
        <v>252</v>
      </c>
      <c r="T38" s="291">
        <v>10000</v>
      </c>
    </row>
    <row r="39" spans="1:21" ht="18" customHeight="1" x14ac:dyDescent="0.25">
      <c r="A39" s="237" t="s">
        <v>253</v>
      </c>
      <c r="B39" s="291">
        <v>15000</v>
      </c>
      <c r="D39" s="237" t="s">
        <v>253</v>
      </c>
      <c r="E39" s="291">
        <v>15000</v>
      </c>
      <c r="G39" s="237" t="s">
        <v>253</v>
      </c>
      <c r="H39" s="291">
        <v>15000</v>
      </c>
      <c r="J39" s="237" t="s">
        <v>253</v>
      </c>
      <c r="K39" s="291">
        <v>15000</v>
      </c>
      <c r="M39" s="237" t="s">
        <v>253</v>
      </c>
      <c r="N39" s="291">
        <v>15000</v>
      </c>
      <c r="P39" s="237" t="s">
        <v>253</v>
      </c>
      <c r="Q39" s="291">
        <v>15000</v>
      </c>
      <c r="S39" s="237" t="s">
        <v>253</v>
      </c>
      <c r="T39" s="291">
        <v>15000</v>
      </c>
    </row>
    <row r="40" spans="1:21" ht="18" customHeight="1" x14ac:dyDescent="0.25">
      <c r="A40" s="237" t="s">
        <v>254</v>
      </c>
      <c r="B40" s="291">
        <v>15000</v>
      </c>
      <c r="D40" s="237" t="s">
        <v>254</v>
      </c>
      <c r="E40" s="291">
        <v>15000</v>
      </c>
      <c r="G40" s="295" t="s">
        <v>254</v>
      </c>
      <c r="H40" s="296">
        <v>15000</v>
      </c>
      <c r="J40" s="237" t="s">
        <v>254</v>
      </c>
      <c r="K40" s="291">
        <v>15000</v>
      </c>
      <c r="M40" s="292" t="s">
        <v>254</v>
      </c>
      <c r="N40" s="291">
        <v>15000</v>
      </c>
      <c r="P40" s="237" t="s">
        <v>254</v>
      </c>
      <c r="Q40" s="291">
        <v>15000</v>
      </c>
      <c r="S40" s="237" t="s">
        <v>254</v>
      </c>
      <c r="T40" s="291">
        <v>15000</v>
      </c>
    </row>
    <row r="41" spans="1:21" ht="18" customHeight="1" x14ac:dyDescent="0.25">
      <c r="A41" s="239" t="s">
        <v>255</v>
      </c>
      <c r="B41" s="291">
        <v>60000</v>
      </c>
      <c r="D41" s="239" t="s">
        <v>255</v>
      </c>
      <c r="E41" s="291">
        <v>60000</v>
      </c>
      <c r="G41" s="239" t="s">
        <v>255</v>
      </c>
      <c r="H41" s="291">
        <v>60000</v>
      </c>
      <c r="J41" s="239" t="s">
        <v>255</v>
      </c>
      <c r="K41" s="291">
        <v>60000</v>
      </c>
      <c r="M41" s="300" t="s">
        <v>255</v>
      </c>
      <c r="N41" s="291">
        <v>60000</v>
      </c>
      <c r="P41" s="239" t="s">
        <v>255</v>
      </c>
      <c r="Q41" s="291">
        <v>60000</v>
      </c>
      <c r="S41" s="239" t="s">
        <v>255</v>
      </c>
      <c r="T41" s="291">
        <v>60000</v>
      </c>
    </row>
    <row r="42" spans="1:21" ht="18" customHeight="1" x14ac:dyDescent="0.25">
      <c r="A42" s="295" t="s">
        <v>256</v>
      </c>
      <c r="B42" s="240">
        <v>10400</v>
      </c>
      <c r="D42" s="295" t="s">
        <v>256</v>
      </c>
      <c r="E42" s="240">
        <v>10400</v>
      </c>
      <c r="G42" s="292" t="s">
        <v>256</v>
      </c>
      <c r="H42" s="240">
        <v>10400</v>
      </c>
      <c r="J42" s="292" t="s">
        <v>256</v>
      </c>
      <c r="K42" s="240">
        <v>10400</v>
      </c>
      <c r="M42" s="292" t="s">
        <v>256</v>
      </c>
      <c r="N42" s="240">
        <v>10400</v>
      </c>
      <c r="P42" s="237" t="s">
        <v>256</v>
      </c>
      <c r="Q42" s="240">
        <v>10400</v>
      </c>
      <c r="S42" s="237" t="s">
        <v>256</v>
      </c>
      <c r="T42" s="240">
        <v>10400</v>
      </c>
    </row>
    <row r="43" spans="1:21" ht="24.95" customHeight="1" x14ac:dyDescent="0.25">
      <c r="A43" s="293" t="s">
        <v>582</v>
      </c>
      <c r="B43" s="240">
        <f>22800*2</f>
        <v>45600</v>
      </c>
      <c r="D43" s="293" t="s">
        <v>591</v>
      </c>
      <c r="E43" s="240">
        <f>15600*2</f>
        <v>31200</v>
      </c>
      <c r="G43" s="294" t="s">
        <v>596</v>
      </c>
      <c r="H43" s="240">
        <f>13500*2</f>
        <v>27000</v>
      </c>
      <c r="J43" s="293" t="s">
        <v>606</v>
      </c>
      <c r="K43" s="296">
        <f>19000*2</f>
        <v>38000</v>
      </c>
      <c r="M43" s="303" t="s">
        <v>612</v>
      </c>
      <c r="N43" s="240">
        <f>30600*2</f>
        <v>61200</v>
      </c>
      <c r="P43" s="303" t="s">
        <v>605</v>
      </c>
      <c r="Q43" s="240">
        <f>10400*2</f>
        <v>20800</v>
      </c>
      <c r="S43" s="305" t="s">
        <v>622</v>
      </c>
      <c r="T43" s="240">
        <f>31100*2</f>
        <v>62200</v>
      </c>
    </row>
    <row r="44" spans="1:21" ht="31.5" customHeight="1" thickBot="1" x14ac:dyDescent="0.3"/>
    <row r="45" spans="1:21" ht="23.1" customHeight="1" thickBot="1" x14ac:dyDescent="0.35">
      <c r="G45" s="357" t="s">
        <v>414</v>
      </c>
      <c r="H45" s="358"/>
      <c r="J45" s="357" t="s">
        <v>415</v>
      </c>
      <c r="K45" s="358"/>
      <c r="M45" s="357" t="s">
        <v>425</v>
      </c>
      <c r="N45" s="358"/>
      <c r="S45" s="263" t="s">
        <v>427</v>
      </c>
      <c r="T45" s="264"/>
    </row>
    <row r="46" spans="1:21" ht="32.1" customHeight="1" thickBot="1" x14ac:dyDescent="0.3">
      <c r="A46" s="355" t="s">
        <v>423</v>
      </c>
      <c r="B46" s="356"/>
      <c r="D46" s="359"/>
      <c r="E46" s="359"/>
      <c r="G46" s="355" t="s">
        <v>418</v>
      </c>
      <c r="H46" s="356"/>
      <c r="J46" s="355" t="s">
        <v>419</v>
      </c>
      <c r="K46" s="356"/>
      <c r="M46" s="355" t="s">
        <v>430</v>
      </c>
      <c r="N46" s="356"/>
      <c r="P46" s="355" t="s">
        <v>426</v>
      </c>
      <c r="Q46" s="356"/>
      <c r="S46" s="355" t="s">
        <v>431</v>
      </c>
      <c r="T46" s="356"/>
    </row>
    <row r="47" spans="1:21" ht="18" customHeight="1" x14ac:dyDescent="0.25">
      <c r="A47" s="292" t="s">
        <v>252</v>
      </c>
      <c r="B47" s="248">
        <v>10000</v>
      </c>
      <c r="E47" s="246"/>
      <c r="G47" s="237" t="s">
        <v>252</v>
      </c>
      <c r="H47" s="248">
        <v>10000</v>
      </c>
      <c r="J47" s="237" t="s">
        <v>252</v>
      </c>
      <c r="K47" s="248">
        <v>10000</v>
      </c>
      <c r="M47" s="237" t="s">
        <v>252</v>
      </c>
      <c r="N47" s="240">
        <v>12000</v>
      </c>
      <c r="P47" s="237" t="s">
        <v>252</v>
      </c>
      <c r="Q47" s="291">
        <v>10000</v>
      </c>
      <c r="S47" s="237" t="s">
        <v>252</v>
      </c>
      <c r="T47" s="296">
        <v>10000</v>
      </c>
    </row>
    <row r="48" spans="1:21" ht="18" customHeight="1" x14ac:dyDescent="0.25">
      <c r="A48" s="237" t="s">
        <v>253</v>
      </c>
      <c r="B48" s="291">
        <v>15000</v>
      </c>
      <c r="E48" s="246"/>
      <c r="G48" s="237" t="s">
        <v>253</v>
      </c>
      <c r="H48" s="291">
        <v>15000</v>
      </c>
      <c r="J48" s="237" t="s">
        <v>253</v>
      </c>
      <c r="K48" s="291">
        <v>15000</v>
      </c>
      <c r="M48" s="237" t="s">
        <v>253</v>
      </c>
      <c r="N48" s="240">
        <v>20000</v>
      </c>
      <c r="P48" s="237" t="s">
        <v>253</v>
      </c>
      <c r="Q48" s="291">
        <v>15000</v>
      </c>
      <c r="S48" s="237" t="s">
        <v>253</v>
      </c>
      <c r="T48" s="296">
        <v>15000</v>
      </c>
    </row>
    <row r="49" spans="1:21" ht="18" customHeight="1" x14ac:dyDescent="0.25">
      <c r="A49" s="237" t="s">
        <v>254</v>
      </c>
      <c r="B49" s="291">
        <v>15000</v>
      </c>
      <c r="E49" s="246"/>
      <c r="G49" s="292" t="s">
        <v>254</v>
      </c>
      <c r="H49" s="240">
        <v>15000</v>
      </c>
      <c r="J49" s="292" t="s">
        <v>254</v>
      </c>
      <c r="K49" s="291">
        <v>15000</v>
      </c>
      <c r="M49" s="237" t="s">
        <v>254</v>
      </c>
      <c r="N49" s="240">
        <v>20000</v>
      </c>
      <c r="P49" s="237" t="s">
        <v>254</v>
      </c>
      <c r="Q49" s="291">
        <v>15000</v>
      </c>
      <c r="S49" s="237" t="s">
        <v>254</v>
      </c>
      <c r="T49" s="296">
        <v>15000</v>
      </c>
    </row>
    <row r="50" spans="1:21" ht="18" customHeight="1" x14ac:dyDescent="0.25">
      <c r="A50" s="239" t="s">
        <v>255</v>
      </c>
      <c r="B50" s="291">
        <v>60000</v>
      </c>
      <c r="D50" s="249"/>
      <c r="E50" s="246"/>
      <c r="G50" s="239" t="s">
        <v>255</v>
      </c>
      <c r="H50" s="240">
        <v>60000</v>
      </c>
      <c r="J50" s="239" t="s">
        <v>255</v>
      </c>
      <c r="K50" s="291">
        <v>60000</v>
      </c>
      <c r="M50" s="239" t="s">
        <v>255</v>
      </c>
      <c r="N50" s="240">
        <v>80000</v>
      </c>
      <c r="P50" s="239" t="s">
        <v>255</v>
      </c>
      <c r="Q50" s="291">
        <v>60000</v>
      </c>
      <c r="S50" s="239" t="s">
        <v>255</v>
      </c>
      <c r="T50" s="296">
        <v>60000</v>
      </c>
    </row>
    <row r="51" spans="1:21" ht="18" customHeight="1" x14ac:dyDescent="0.25">
      <c r="A51" s="295" t="s">
        <v>256</v>
      </c>
      <c r="B51" s="240">
        <v>10400</v>
      </c>
      <c r="D51" s="245"/>
      <c r="E51" s="242"/>
      <c r="G51" s="237" t="s">
        <v>256</v>
      </c>
      <c r="H51" s="240">
        <v>10400</v>
      </c>
      <c r="J51" s="292" t="s">
        <v>256</v>
      </c>
      <c r="K51" s="240">
        <v>10400</v>
      </c>
      <c r="M51" s="292" t="s">
        <v>256</v>
      </c>
      <c r="N51" s="240">
        <v>10400</v>
      </c>
      <c r="P51" s="237" t="s">
        <v>256</v>
      </c>
      <c r="Q51" s="240">
        <v>10400</v>
      </c>
      <c r="S51" s="237" t="s">
        <v>256</v>
      </c>
      <c r="T51" s="240">
        <v>10400</v>
      </c>
    </row>
    <row r="52" spans="1:21" s="247" customFormat="1" ht="27.6" customHeight="1" thickBot="1" x14ac:dyDescent="0.3">
      <c r="A52" s="293" t="s">
        <v>584</v>
      </c>
      <c r="B52" s="296">
        <f>10400*2</f>
        <v>20800</v>
      </c>
      <c r="C52" s="236"/>
      <c r="D52" s="250"/>
      <c r="E52" s="251"/>
      <c r="F52" s="236"/>
      <c r="G52" s="294" t="s">
        <v>597</v>
      </c>
      <c r="H52" s="240">
        <f>13000*2</f>
        <v>26000</v>
      </c>
      <c r="I52" s="236"/>
      <c r="J52" s="294" t="s">
        <v>584</v>
      </c>
      <c r="K52" s="240">
        <f>10400*2</f>
        <v>20800</v>
      </c>
      <c r="L52" s="236"/>
      <c r="M52" s="305" t="s">
        <v>613</v>
      </c>
      <c r="N52" s="296">
        <f>7300*2</f>
        <v>14600</v>
      </c>
      <c r="O52" s="236"/>
      <c r="P52" s="303" t="s">
        <v>605</v>
      </c>
      <c r="Q52" s="240">
        <f>10400*2</f>
        <v>20800</v>
      </c>
      <c r="R52" s="236"/>
      <c r="S52" s="305" t="s">
        <v>623</v>
      </c>
      <c r="T52" s="296">
        <f>30100*2</f>
        <v>60200</v>
      </c>
      <c r="U52" s="236"/>
    </row>
    <row r="53" spans="1:21" ht="24.6" customHeight="1" thickBot="1" x14ac:dyDescent="0.3">
      <c r="A53" s="247"/>
      <c r="B53" s="247"/>
      <c r="J53" s="357" t="s">
        <v>424</v>
      </c>
      <c r="K53" s="358"/>
    </row>
    <row r="54" spans="1:21" ht="32.1" customHeight="1" thickBot="1" x14ac:dyDescent="0.3">
      <c r="A54" s="355" t="s">
        <v>432</v>
      </c>
      <c r="B54" s="356"/>
      <c r="D54" s="359"/>
      <c r="E54" s="359"/>
      <c r="G54" s="355" t="s">
        <v>428</v>
      </c>
      <c r="H54" s="356"/>
      <c r="J54" s="355" t="s">
        <v>429</v>
      </c>
      <c r="K54" s="356"/>
      <c r="P54" s="355" t="s">
        <v>434</v>
      </c>
      <c r="Q54" s="356"/>
      <c r="S54" s="355" t="s">
        <v>435</v>
      </c>
      <c r="T54" s="356"/>
    </row>
    <row r="55" spans="1:21" ht="18" customHeight="1" x14ac:dyDescent="0.25">
      <c r="A55" s="237" t="s">
        <v>252</v>
      </c>
      <c r="B55" s="291">
        <v>12000</v>
      </c>
      <c r="E55" s="246"/>
      <c r="G55" s="237" t="s">
        <v>252</v>
      </c>
      <c r="H55" s="291">
        <v>13600</v>
      </c>
      <c r="J55" s="237" t="s">
        <v>252</v>
      </c>
      <c r="K55" s="248">
        <v>10000</v>
      </c>
      <c r="P55" s="237" t="s">
        <v>252</v>
      </c>
      <c r="Q55" s="291">
        <v>12000</v>
      </c>
      <c r="S55" s="237" t="s">
        <v>252</v>
      </c>
      <c r="T55" s="240">
        <v>10000</v>
      </c>
    </row>
    <row r="56" spans="1:21" ht="25.7" customHeight="1" x14ac:dyDescent="0.25">
      <c r="A56" s="237" t="s">
        <v>253</v>
      </c>
      <c r="B56" s="291">
        <v>20000</v>
      </c>
      <c r="E56" s="246"/>
      <c r="G56" s="237" t="s">
        <v>253</v>
      </c>
      <c r="H56" s="291">
        <v>21400</v>
      </c>
      <c r="J56" s="237" t="s">
        <v>253</v>
      </c>
      <c r="K56" s="291">
        <v>15000</v>
      </c>
      <c r="P56" s="237" t="s">
        <v>253</v>
      </c>
      <c r="Q56" s="291">
        <v>22000</v>
      </c>
      <c r="S56" s="237" t="s">
        <v>253</v>
      </c>
      <c r="T56" s="240">
        <v>15000</v>
      </c>
    </row>
    <row r="57" spans="1:21" ht="18" customHeight="1" x14ac:dyDescent="0.25">
      <c r="A57" s="237" t="s">
        <v>254</v>
      </c>
      <c r="B57" s="291">
        <v>20000</v>
      </c>
      <c r="E57" s="246"/>
      <c r="G57" s="295" t="s">
        <v>254</v>
      </c>
      <c r="H57" s="296">
        <v>21400</v>
      </c>
      <c r="J57" s="237" t="s">
        <v>254</v>
      </c>
      <c r="K57" s="291">
        <v>15000</v>
      </c>
      <c r="P57" s="237" t="s">
        <v>254</v>
      </c>
      <c r="Q57" s="291">
        <v>22000</v>
      </c>
      <c r="S57" s="237" t="s">
        <v>254</v>
      </c>
      <c r="T57" s="240">
        <v>15000</v>
      </c>
    </row>
    <row r="58" spans="1:21" ht="18" customHeight="1" x14ac:dyDescent="0.25">
      <c r="A58" s="239" t="s">
        <v>255</v>
      </c>
      <c r="B58" s="291">
        <v>80000</v>
      </c>
      <c r="D58" s="249"/>
      <c r="E58" s="246"/>
      <c r="G58" s="239" t="s">
        <v>255</v>
      </c>
      <c r="H58" s="291">
        <v>64048</v>
      </c>
      <c r="J58" s="239" t="s">
        <v>255</v>
      </c>
      <c r="K58" s="291">
        <v>60000</v>
      </c>
      <c r="P58" s="239" t="s">
        <v>255</v>
      </c>
      <c r="Q58" s="291">
        <v>80000</v>
      </c>
      <c r="S58" s="239" t="s">
        <v>255</v>
      </c>
      <c r="T58" s="240">
        <v>60000</v>
      </c>
    </row>
    <row r="59" spans="1:21" ht="18" customHeight="1" x14ac:dyDescent="0.25">
      <c r="A59" s="292" t="s">
        <v>256</v>
      </c>
      <c r="B59" s="291">
        <v>10400</v>
      </c>
      <c r="D59" s="238"/>
      <c r="E59" s="246"/>
      <c r="G59" s="237" t="s">
        <v>256</v>
      </c>
      <c r="H59" s="240">
        <v>10400</v>
      </c>
      <c r="J59" s="237" t="s">
        <v>256</v>
      </c>
      <c r="K59" s="240">
        <v>10400</v>
      </c>
      <c r="P59" s="237" t="s">
        <v>256</v>
      </c>
      <c r="Q59" s="240">
        <v>12500</v>
      </c>
      <c r="S59" s="237" t="s">
        <v>256</v>
      </c>
      <c r="T59" s="240">
        <v>10400</v>
      </c>
    </row>
    <row r="60" spans="1:21" ht="30" x14ac:dyDescent="0.25">
      <c r="A60" s="293" t="s">
        <v>586</v>
      </c>
      <c r="B60" s="240">
        <f>59100*2</f>
        <v>118200</v>
      </c>
      <c r="D60" s="249"/>
      <c r="E60" s="246"/>
      <c r="G60" s="294" t="s">
        <v>598</v>
      </c>
      <c r="H60" s="296">
        <f>11000*2</f>
        <v>22000</v>
      </c>
      <c r="J60" s="294" t="s">
        <v>608</v>
      </c>
      <c r="K60" s="240">
        <f>41500*2</f>
        <v>83000</v>
      </c>
      <c r="P60" s="303" t="s">
        <v>584</v>
      </c>
      <c r="Q60" s="240">
        <f>10400*2</f>
        <v>20800</v>
      </c>
      <c r="S60" s="303" t="s">
        <v>596</v>
      </c>
      <c r="T60" s="240">
        <f>13500*2</f>
        <v>27000</v>
      </c>
    </row>
    <row r="61" spans="1:21" ht="30" customHeight="1" thickBot="1" x14ac:dyDescent="0.3">
      <c r="A61" s="249"/>
      <c r="B61" s="246"/>
      <c r="D61" s="249"/>
      <c r="E61" s="246"/>
      <c r="G61" s="294" t="s">
        <v>599</v>
      </c>
      <c r="H61" s="240">
        <f>64400*2</f>
        <v>128800</v>
      </c>
      <c r="P61" s="249"/>
      <c r="Q61" s="246"/>
    </row>
    <row r="62" spans="1:21" ht="32.1" customHeight="1" thickBot="1" x14ac:dyDescent="0.3">
      <c r="D62" s="244"/>
      <c r="E62" s="252"/>
      <c r="J62" s="357" t="s">
        <v>433</v>
      </c>
      <c r="K62" s="358"/>
      <c r="S62" s="357" t="s">
        <v>439</v>
      </c>
      <c r="T62" s="358"/>
    </row>
    <row r="63" spans="1:21" ht="32.1" customHeight="1" thickBot="1" x14ac:dyDescent="0.3">
      <c r="A63" s="355" t="s">
        <v>438</v>
      </c>
      <c r="B63" s="356"/>
      <c r="G63" s="355" t="s">
        <v>436</v>
      </c>
      <c r="H63" s="356"/>
      <c r="J63" s="355" t="s">
        <v>437</v>
      </c>
      <c r="K63" s="356"/>
      <c r="P63" s="355" t="s">
        <v>442</v>
      </c>
      <c r="Q63" s="356"/>
      <c r="S63" s="355" t="s">
        <v>443</v>
      </c>
      <c r="T63" s="356"/>
    </row>
    <row r="64" spans="1:21" ht="27.6" customHeight="1" x14ac:dyDescent="0.25">
      <c r="A64" s="292" t="s">
        <v>252</v>
      </c>
      <c r="B64" s="240">
        <v>12000</v>
      </c>
      <c r="D64" s="359"/>
      <c r="E64" s="359"/>
      <c r="G64" s="237" t="s">
        <v>252</v>
      </c>
      <c r="H64" s="248">
        <v>10000</v>
      </c>
      <c r="J64" s="237" t="s">
        <v>252</v>
      </c>
      <c r="K64" s="248">
        <v>10000</v>
      </c>
      <c r="P64" s="237" t="s">
        <v>252</v>
      </c>
      <c r="Q64" s="291">
        <v>10000</v>
      </c>
      <c r="S64" s="237" t="s">
        <v>252</v>
      </c>
      <c r="T64" s="240">
        <v>10000</v>
      </c>
    </row>
    <row r="65" spans="1:20" ht="22.7" customHeight="1" x14ac:dyDescent="0.25">
      <c r="A65" s="237" t="s">
        <v>253</v>
      </c>
      <c r="B65" s="240">
        <v>20000</v>
      </c>
      <c r="E65" s="246"/>
      <c r="G65" s="237" t="s">
        <v>253</v>
      </c>
      <c r="H65" s="291">
        <v>15000</v>
      </c>
      <c r="J65" s="237" t="s">
        <v>253</v>
      </c>
      <c r="K65" s="291">
        <v>15000</v>
      </c>
      <c r="P65" s="237" t="s">
        <v>253</v>
      </c>
      <c r="Q65" s="291">
        <v>15000</v>
      </c>
      <c r="S65" s="237" t="s">
        <v>253</v>
      </c>
      <c r="T65" s="240">
        <v>15000</v>
      </c>
    </row>
    <row r="66" spans="1:20" ht="22.7" customHeight="1" x14ac:dyDescent="0.25">
      <c r="A66" s="237" t="s">
        <v>254</v>
      </c>
      <c r="B66" s="240">
        <v>20000</v>
      </c>
      <c r="E66" s="246"/>
      <c r="G66" s="237" t="s">
        <v>254</v>
      </c>
      <c r="H66" s="291">
        <v>15000</v>
      </c>
      <c r="J66" s="237" t="s">
        <v>254</v>
      </c>
      <c r="K66" s="291">
        <v>15000</v>
      </c>
      <c r="P66" s="237" t="s">
        <v>254</v>
      </c>
      <c r="Q66" s="291">
        <v>15000</v>
      </c>
      <c r="S66" s="237" t="s">
        <v>254</v>
      </c>
      <c r="T66" s="240">
        <v>15000</v>
      </c>
    </row>
    <row r="67" spans="1:20" ht="21" customHeight="1" x14ac:dyDescent="0.25">
      <c r="A67" s="239" t="s">
        <v>255</v>
      </c>
      <c r="B67" s="240">
        <v>140000</v>
      </c>
      <c r="E67" s="246"/>
      <c r="G67" s="239" t="s">
        <v>255</v>
      </c>
      <c r="H67" s="291">
        <v>60000</v>
      </c>
      <c r="J67" s="300" t="s">
        <v>255</v>
      </c>
      <c r="K67" s="291">
        <v>60000</v>
      </c>
      <c r="P67" s="239" t="s">
        <v>255</v>
      </c>
      <c r="Q67" s="291">
        <v>60000</v>
      </c>
      <c r="S67" s="239" t="s">
        <v>255</v>
      </c>
      <c r="T67" s="240">
        <v>60000</v>
      </c>
    </row>
    <row r="68" spans="1:20" s="238" customFormat="1" ht="27" customHeight="1" x14ac:dyDescent="0.2">
      <c r="A68" s="292" t="s">
        <v>256</v>
      </c>
      <c r="B68" s="240">
        <v>12500</v>
      </c>
      <c r="D68" s="244"/>
      <c r="E68" s="242"/>
      <c r="G68" s="292" t="s">
        <v>256</v>
      </c>
      <c r="H68" s="240">
        <v>10400</v>
      </c>
      <c r="J68" s="292" t="s">
        <v>256</v>
      </c>
      <c r="K68" s="240">
        <v>10400</v>
      </c>
      <c r="P68" s="292" t="s">
        <v>256</v>
      </c>
      <c r="Q68" s="240">
        <v>10400</v>
      </c>
      <c r="S68" s="292" t="s">
        <v>256</v>
      </c>
      <c r="T68" s="240">
        <v>10400</v>
      </c>
    </row>
    <row r="69" spans="1:20" ht="35.450000000000003" customHeight="1" x14ac:dyDescent="0.25">
      <c r="A69" s="294" t="s">
        <v>587</v>
      </c>
      <c r="B69" s="240">
        <f>14000*2</f>
        <v>28000</v>
      </c>
      <c r="D69" s="249"/>
      <c r="E69" s="246"/>
      <c r="G69" s="293" t="s">
        <v>600</v>
      </c>
      <c r="H69" s="301">
        <f>9100*2</f>
        <v>18200</v>
      </c>
      <c r="J69" s="294" t="s">
        <v>607</v>
      </c>
      <c r="K69" s="240">
        <f>28000*2</f>
        <v>56000</v>
      </c>
      <c r="P69" s="303" t="s">
        <v>616</v>
      </c>
      <c r="Q69" s="240">
        <f>10800*2</f>
        <v>21600</v>
      </c>
      <c r="S69" s="303" t="s">
        <v>624</v>
      </c>
      <c r="T69" s="240">
        <f>21800*2</f>
        <v>43600</v>
      </c>
    </row>
    <row r="70" spans="1:20" ht="30" customHeight="1" thickBot="1" x14ac:dyDescent="0.3">
      <c r="A70" s="294" t="s">
        <v>588</v>
      </c>
      <c r="B70" s="240">
        <f>62300*2</f>
        <v>124600</v>
      </c>
      <c r="D70" s="244"/>
      <c r="E70" s="252"/>
      <c r="H70" s="242"/>
      <c r="P70" s="249"/>
      <c r="Q70" s="246"/>
    </row>
    <row r="71" spans="1:20" ht="32.1" customHeight="1" thickBot="1" x14ac:dyDescent="0.3">
      <c r="A71" s="249"/>
      <c r="B71" s="246"/>
      <c r="D71" s="249"/>
      <c r="E71" s="246"/>
      <c r="G71" s="355" t="s">
        <v>440</v>
      </c>
      <c r="H71" s="356"/>
      <c r="J71" s="355" t="s">
        <v>441</v>
      </c>
      <c r="K71" s="356"/>
      <c r="P71" s="355" t="s">
        <v>445</v>
      </c>
      <c r="Q71" s="356"/>
      <c r="S71" s="355" t="s">
        <v>446</v>
      </c>
      <c r="T71" s="356"/>
    </row>
    <row r="72" spans="1:20" ht="20.100000000000001" customHeight="1" x14ac:dyDescent="0.25">
      <c r="A72" s="359"/>
      <c r="B72" s="359"/>
      <c r="D72" s="359"/>
      <c r="E72" s="359"/>
      <c r="G72" s="237" t="s">
        <v>252</v>
      </c>
      <c r="H72" s="248">
        <v>10000</v>
      </c>
      <c r="J72" s="237" t="s">
        <v>252</v>
      </c>
      <c r="K72" s="302">
        <v>10000</v>
      </c>
      <c r="P72" s="237" t="s">
        <v>252</v>
      </c>
      <c r="Q72" s="291">
        <v>10000</v>
      </c>
      <c r="S72" s="308" t="s">
        <v>252</v>
      </c>
      <c r="T72" s="297">
        <v>10000</v>
      </c>
    </row>
    <row r="73" spans="1:20" ht="18" customHeight="1" x14ac:dyDescent="0.25">
      <c r="E73" s="246"/>
      <c r="G73" s="237" t="s">
        <v>253</v>
      </c>
      <c r="H73" s="291">
        <v>15000</v>
      </c>
      <c r="J73" s="237" t="s">
        <v>253</v>
      </c>
      <c r="K73" s="296">
        <v>15000</v>
      </c>
      <c r="P73" s="237" t="s">
        <v>253</v>
      </c>
      <c r="Q73" s="291">
        <v>15000</v>
      </c>
      <c r="S73" s="237" t="s">
        <v>253</v>
      </c>
      <c r="T73" s="291">
        <v>15000</v>
      </c>
    </row>
    <row r="74" spans="1:20" ht="18" customHeight="1" x14ac:dyDescent="0.25">
      <c r="E74" s="246"/>
      <c r="G74" s="292" t="s">
        <v>254</v>
      </c>
      <c r="H74" s="240">
        <v>15000</v>
      </c>
      <c r="J74" s="237" t="s">
        <v>254</v>
      </c>
      <c r="K74" s="291">
        <v>15000</v>
      </c>
      <c r="P74" s="237" t="s">
        <v>254</v>
      </c>
      <c r="Q74" s="291">
        <v>15000</v>
      </c>
      <c r="S74" s="237" t="s">
        <v>254</v>
      </c>
      <c r="T74" s="291">
        <v>15000</v>
      </c>
    </row>
    <row r="75" spans="1:20" ht="18" customHeight="1" x14ac:dyDescent="0.25">
      <c r="E75" s="246"/>
      <c r="G75" s="300" t="s">
        <v>255</v>
      </c>
      <c r="H75" s="240">
        <v>60000</v>
      </c>
      <c r="J75" s="300" t="s">
        <v>255</v>
      </c>
      <c r="K75" s="291">
        <v>60000</v>
      </c>
      <c r="P75" s="239" t="s">
        <v>255</v>
      </c>
      <c r="Q75" s="291">
        <v>60000</v>
      </c>
      <c r="S75" s="239" t="s">
        <v>255</v>
      </c>
      <c r="T75" s="291">
        <v>60000</v>
      </c>
    </row>
    <row r="76" spans="1:20" ht="27" customHeight="1" x14ac:dyDescent="0.25">
      <c r="D76" s="249"/>
      <c r="E76" s="246"/>
      <c r="G76" s="237" t="s">
        <v>256</v>
      </c>
      <c r="H76" s="240">
        <v>10400</v>
      </c>
      <c r="J76" s="292" t="s">
        <v>256</v>
      </c>
      <c r="K76" s="240">
        <v>10400</v>
      </c>
      <c r="P76" s="237" t="s">
        <v>256</v>
      </c>
      <c r="Q76" s="240">
        <v>10400</v>
      </c>
      <c r="S76" s="237" t="s">
        <v>256</v>
      </c>
      <c r="T76" s="240">
        <v>10400</v>
      </c>
    </row>
    <row r="77" spans="1:20" ht="34.700000000000003" customHeight="1" x14ac:dyDescent="0.25">
      <c r="E77" s="246"/>
      <c r="G77" s="293" t="s">
        <v>601</v>
      </c>
      <c r="H77" s="301">
        <f>7300*2</f>
        <v>14600</v>
      </c>
      <c r="J77" s="294" t="s">
        <v>607</v>
      </c>
      <c r="K77" s="240">
        <f>28000*2</f>
        <v>56000</v>
      </c>
      <c r="P77" s="303" t="s">
        <v>617</v>
      </c>
      <c r="Q77" s="240">
        <f>17100*2</f>
        <v>34200</v>
      </c>
      <c r="S77" s="303" t="s">
        <v>625</v>
      </c>
      <c r="T77" s="240">
        <f>27800*2</f>
        <v>55600</v>
      </c>
    </row>
    <row r="78" spans="1:20" ht="38.450000000000003" customHeight="1" thickBot="1" x14ac:dyDescent="0.3">
      <c r="E78" s="246"/>
      <c r="S78" s="307" t="s">
        <v>626</v>
      </c>
      <c r="T78" s="240">
        <f>67500*2</f>
        <v>135000</v>
      </c>
    </row>
    <row r="79" spans="1:20" ht="32.1" customHeight="1" thickBot="1" x14ac:dyDescent="0.3">
      <c r="G79" s="355" t="s">
        <v>444</v>
      </c>
      <c r="H79" s="356"/>
      <c r="P79" s="355" t="s">
        <v>447</v>
      </c>
      <c r="Q79" s="356"/>
    </row>
    <row r="80" spans="1:20" ht="20.100000000000001" customHeight="1" x14ac:dyDescent="0.25">
      <c r="G80" s="237" t="s">
        <v>252</v>
      </c>
      <c r="H80" s="297">
        <v>10000</v>
      </c>
      <c r="P80" s="237" t="s">
        <v>252</v>
      </c>
      <c r="Q80" s="291">
        <v>12000</v>
      </c>
    </row>
    <row r="81" spans="7:22" ht="18" customHeight="1" x14ac:dyDescent="0.25">
      <c r="G81" s="237" t="s">
        <v>253</v>
      </c>
      <c r="H81" s="240">
        <v>15000</v>
      </c>
      <c r="P81" s="237" t="s">
        <v>253</v>
      </c>
      <c r="Q81" s="291">
        <v>20000</v>
      </c>
    </row>
    <row r="82" spans="7:22" ht="18" customHeight="1" x14ac:dyDescent="0.25">
      <c r="G82" s="237" t="s">
        <v>254</v>
      </c>
      <c r="H82" s="240">
        <v>15000</v>
      </c>
      <c r="P82" s="237" t="s">
        <v>254</v>
      </c>
      <c r="Q82" s="291">
        <v>20000</v>
      </c>
    </row>
    <row r="83" spans="7:22" ht="21.6" customHeight="1" x14ac:dyDescent="0.25">
      <c r="G83" s="239" t="s">
        <v>255</v>
      </c>
      <c r="H83" s="240">
        <v>60000</v>
      </c>
      <c r="P83" s="239" t="s">
        <v>255</v>
      </c>
      <c r="Q83" s="291">
        <v>80000</v>
      </c>
    </row>
    <row r="84" spans="7:22" ht="23.1" customHeight="1" x14ac:dyDescent="0.25">
      <c r="G84" s="292" t="s">
        <v>256</v>
      </c>
      <c r="H84" s="240">
        <v>10400</v>
      </c>
      <c r="P84" s="237" t="s">
        <v>256</v>
      </c>
      <c r="Q84" s="240">
        <v>12500</v>
      </c>
    </row>
    <row r="85" spans="7:22" ht="27" customHeight="1" x14ac:dyDescent="0.25">
      <c r="G85" s="294" t="s">
        <v>602</v>
      </c>
      <c r="H85" s="240">
        <f>7800*2</f>
        <v>15600</v>
      </c>
      <c r="P85" s="303" t="s">
        <v>618</v>
      </c>
      <c r="Q85" s="240">
        <f>11400*2</f>
        <v>22800</v>
      </c>
    </row>
    <row r="86" spans="7:22" ht="30" customHeight="1" thickBot="1" x14ac:dyDescent="0.3"/>
    <row r="87" spans="7:22" ht="24.2" customHeight="1" thickBot="1" x14ac:dyDescent="0.3">
      <c r="P87" s="355" t="s">
        <v>448</v>
      </c>
      <c r="Q87" s="356"/>
    </row>
    <row r="88" spans="7:22" ht="19.7" customHeight="1" x14ac:dyDescent="0.25">
      <c r="P88" s="237" t="s">
        <v>252</v>
      </c>
      <c r="Q88" s="291">
        <v>12000</v>
      </c>
    </row>
    <row r="89" spans="7:22" ht="18" customHeight="1" x14ac:dyDescent="0.25">
      <c r="P89" s="237" t="s">
        <v>253</v>
      </c>
      <c r="Q89" s="291">
        <v>22000</v>
      </c>
    </row>
    <row r="90" spans="7:22" ht="18" customHeight="1" x14ac:dyDescent="0.25">
      <c r="P90" s="237" t="s">
        <v>254</v>
      </c>
      <c r="Q90" s="291">
        <v>22000</v>
      </c>
      <c r="V90" s="306" t="s">
        <v>627</v>
      </c>
    </row>
    <row r="91" spans="7:22" ht="25.7" customHeight="1" x14ac:dyDescent="0.25">
      <c r="P91" s="239" t="s">
        <v>255</v>
      </c>
      <c r="Q91" s="291">
        <v>80000</v>
      </c>
    </row>
    <row r="92" spans="7:22" s="238" customFormat="1" ht="18" customHeight="1" x14ac:dyDescent="0.25">
      <c r="P92" s="237" t="s">
        <v>256</v>
      </c>
      <c r="Q92" s="240">
        <v>12500</v>
      </c>
      <c r="S92" s="236"/>
      <c r="T92" s="236"/>
    </row>
    <row r="93" spans="7:22" s="238" customFormat="1" ht="31.7" customHeight="1" x14ac:dyDescent="0.25">
      <c r="P93" s="303" t="s">
        <v>501</v>
      </c>
      <c r="Q93" s="240">
        <f>35000*2</f>
        <v>70000</v>
      </c>
      <c r="S93" s="236"/>
      <c r="T93" s="236"/>
    </row>
    <row r="94" spans="7:22" ht="30.2" customHeight="1" x14ac:dyDescent="0.25"/>
  </sheetData>
  <mergeCells count="79">
    <mergeCell ref="J28:K28"/>
    <mergeCell ref="M46:N46"/>
    <mergeCell ref="J46:K46"/>
    <mergeCell ref="M37:N37"/>
    <mergeCell ref="M45:N45"/>
    <mergeCell ref="M28:N28"/>
    <mergeCell ref="S20:T20"/>
    <mergeCell ref="S46:T46"/>
    <mergeCell ref="S37:T37"/>
    <mergeCell ref="P37:Q37"/>
    <mergeCell ref="P28:Q28"/>
    <mergeCell ref="S28:T28"/>
    <mergeCell ref="A11:B11"/>
    <mergeCell ref="A20:B20"/>
    <mergeCell ref="J20:K20"/>
    <mergeCell ref="M20:N20"/>
    <mergeCell ref="P20:Q20"/>
    <mergeCell ref="D20:E20"/>
    <mergeCell ref="G20:H20"/>
    <mergeCell ref="S11:T11"/>
    <mergeCell ref="J19:K19"/>
    <mergeCell ref="M19:N19"/>
    <mergeCell ref="D11:E11"/>
    <mergeCell ref="G11:H11"/>
    <mergeCell ref="J11:K11"/>
    <mergeCell ref="M11:N11"/>
    <mergeCell ref="P11:Q11"/>
    <mergeCell ref="S1:T1"/>
    <mergeCell ref="A3:B3"/>
    <mergeCell ref="D3:E3"/>
    <mergeCell ref="G3:H3"/>
    <mergeCell ref="J3:K3"/>
    <mergeCell ref="M3:N3"/>
    <mergeCell ref="P3:Q3"/>
    <mergeCell ref="S3:T3"/>
    <mergeCell ref="A1:B1"/>
    <mergeCell ref="D1:E1"/>
    <mergeCell ref="G1:H1"/>
    <mergeCell ref="J1:K1"/>
    <mergeCell ref="M1:N1"/>
    <mergeCell ref="P1:Q1"/>
    <mergeCell ref="D28:E28"/>
    <mergeCell ref="D54:E54"/>
    <mergeCell ref="A46:B46"/>
    <mergeCell ref="A37:B37"/>
    <mergeCell ref="D46:E46"/>
    <mergeCell ref="A28:B28"/>
    <mergeCell ref="G29:H29"/>
    <mergeCell ref="D37:E37"/>
    <mergeCell ref="G37:H37"/>
    <mergeCell ref="G45:H45"/>
    <mergeCell ref="J37:K37"/>
    <mergeCell ref="J45:K45"/>
    <mergeCell ref="A72:B72"/>
    <mergeCell ref="D72:E72"/>
    <mergeCell ref="D64:E64"/>
    <mergeCell ref="G46:H46"/>
    <mergeCell ref="S36:T36"/>
    <mergeCell ref="P46:Q46"/>
    <mergeCell ref="A54:B54"/>
    <mergeCell ref="A63:B63"/>
    <mergeCell ref="G54:H54"/>
    <mergeCell ref="J63:K63"/>
    <mergeCell ref="J62:K62"/>
    <mergeCell ref="P87:Q87"/>
    <mergeCell ref="G63:H63"/>
    <mergeCell ref="G71:H71"/>
    <mergeCell ref="G79:H79"/>
    <mergeCell ref="J71:K71"/>
    <mergeCell ref="P63:Q63"/>
    <mergeCell ref="P71:Q71"/>
    <mergeCell ref="P79:Q79"/>
    <mergeCell ref="S54:T54"/>
    <mergeCell ref="S62:T62"/>
    <mergeCell ref="S71:T71"/>
    <mergeCell ref="J54:K54"/>
    <mergeCell ref="J53:K53"/>
    <mergeCell ref="S63:T63"/>
    <mergeCell ref="P54:Q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8"/>
  <sheetViews>
    <sheetView topLeftCell="A27" zoomScale="80" zoomScaleNormal="80" workbookViewId="0">
      <selection activeCell="B62" sqref="B62"/>
    </sheetView>
  </sheetViews>
  <sheetFormatPr baseColWidth="10" defaultColWidth="10.85546875" defaultRowHeight="15" x14ac:dyDescent="0.25"/>
  <cols>
    <col min="1" max="1" width="22.140625" style="109" customWidth="1"/>
    <col min="2" max="2" width="32.140625" style="109" customWidth="1"/>
    <col min="3" max="3" width="7.140625" style="188" customWidth="1"/>
    <col min="4" max="4" width="5.85546875" style="188" customWidth="1"/>
    <col min="5" max="5" width="5.42578125" style="188" customWidth="1"/>
    <col min="6" max="7" width="5.140625" style="188" customWidth="1"/>
    <col min="8" max="9" width="5.42578125" style="188" customWidth="1"/>
    <col min="10" max="11" width="5.85546875" style="188" customWidth="1"/>
    <col min="12" max="12" width="4.85546875" style="188" customWidth="1"/>
    <col min="13" max="13" width="5.85546875" style="188" customWidth="1"/>
    <col min="14" max="14" width="5.140625" style="188" customWidth="1"/>
    <col min="15" max="16384" width="10.85546875" style="109"/>
  </cols>
  <sheetData>
    <row r="1" spans="1:15" ht="39.950000000000003" customHeight="1" thickBot="1" x14ac:dyDescent="0.3">
      <c r="A1" s="104"/>
      <c r="B1" s="105" t="s">
        <v>1</v>
      </c>
      <c r="C1" s="106" t="s">
        <v>449</v>
      </c>
      <c r="D1" s="106" t="s">
        <v>450</v>
      </c>
      <c r="E1" s="106" t="s">
        <v>451</v>
      </c>
      <c r="F1" s="106" t="s">
        <v>452</v>
      </c>
      <c r="G1" s="106" t="s">
        <v>453</v>
      </c>
      <c r="H1" s="106" t="s">
        <v>454</v>
      </c>
      <c r="I1" s="106" t="s">
        <v>455</v>
      </c>
      <c r="J1" s="106" t="s">
        <v>456</v>
      </c>
      <c r="K1" s="106" t="s">
        <v>457</v>
      </c>
      <c r="L1" s="106" t="s">
        <v>458</v>
      </c>
      <c r="M1" s="106" t="s">
        <v>459</v>
      </c>
      <c r="N1" s="107" t="s">
        <v>460</v>
      </c>
      <c r="O1" s="108" t="s">
        <v>461</v>
      </c>
    </row>
    <row r="2" spans="1:15" ht="16.5" thickBot="1" x14ac:dyDescent="0.3">
      <c r="A2" s="371" t="s">
        <v>462</v>
      </c>
      <c r="B2" s="110" t="s">
        <v>463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4"/>
    </row>
    <row r="3" spans="1:15" ht="16.5" thickBot="1" x14ac:dyDescent="0.3">
      <c r="A3" s="372"/>
      <c r="B3" s="115" t="s">
        <v>464</v>
      </c>
      <c r="C3" s="116"/>
      <c r="D3" s="117"/>
      <c r="E3" s="117"/>
      <c r="F3" s="117">
        <v>8</v>
      </c>
      <c r="G3" s="117">
        <v>4</v>
      </c>
      <c r="H3" s="117"/>
      <c r="I3" s="117">
        <v>5</v>
      </c>
      <c r="J3" s="117"/>
      <c r="K3" s="117"/>
      <c r="L3" s="117"/>
      <c r="M3" s="117"/>
      <c r="N3" s="118"/>
      <c r="O3" s="114">
        <f>SUM(C3:N3)</f>
        <v>17</v>
      </c>
    </row>
    <row r="4" spans="1:15" ht="16.5" thickBot="1" x14ac:dyDescent="0.3">
      <c r="A4" s="372"/>
      <c r="B4" s="115" t="s">
        <v>465</v>
      </c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4">
        <f t="shared" ref="O4:O67" si="0">SUM(C4:N4)</f>
        <v>0</v>
      </c>
    </row>
    <row r="5" spans="1:15" ht="16.5" thickBot="1" x14ac:dyDescent="0.3">
      <c r="A5" s="372"/>
      <c r="B5" s="115" t="s">
        <v>466</v>
      </c>
      <c r="C5" s="116">
        <v>9</v>
      </c>
      <c r="D5" s="117">
        <v>5</v>
      </c>
      <c r="E5" s="117">
        <v>26</v>
      </c>
      <c r="F5" s="117">
        <v>31</v>
      </c>
      <c r="G5" s="117">
        <v>26</v>
      </c>
      <c r="H5" s="117">
        <f>1+14</f>
        <v>15</v>
      </c>
      <c r="I5" s="117">
        <v>21</v>
      </c>
      <c r="J5" s="117">
        <v>32</v>
      </c>
      <c r="K5" s="117"/>
      <c r="L5" s="117"/>
      <c r="M5" s="117"/>
      <c r="N5" s="118"/>
      <c r="O5" s="114">
        <f t="shared" si="0"/>
        <v>165</v>
      </c>
    </row>
    <row r="6" spans="1:15" ht="16.5" thickBot="1" x14ac:dyDescent="0.3">
      <c r="A6" s="372"/>
      <c r="B6" s="115" t="s">
        <v>467</v>
      </c>
      <c r="C6" s="116"/>
      <c r="D6" s="117"/>
      <c r="E6" s="117"/>
      <c r="F6" s="117">
        <v>16</v>
      </c>
      <c r="G6" s="117"/>
      <c r="H6" s="117"/>
      <c r="I6" s="117"/>
      <c r="J6" s="117"/>
      <c r="K6" s="117"/>
      <c r="L6" s="117"/>
      <c r="M6" s="117"/>
      <c r="N6" s="118"/>
      <c r="O6" s="114">
        <f t="shared" si="0"/>
        <v>16</v>
      </c>
    </row>
    <row r="7" spans="1:15" ht="16.5" thickBot="1" x14ac:dyDescent="0.3">
      <c r="A7" s="372"/>
      <c r="B7" s="115" t="s">
        <v>468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4">
        <f t="shared" si="0"/>
        <v>0</v>
      </c>
    </row>
    <row r="8" spans="1:15" ht="16.5" thickBot="1" x14ac:dyDescent="0.3">
      <c r="A8" s="372"/>
      <c r="B8" s="115" t="s">
        <v>469</v>
      </c>
      <c r="C8" s="116">
        <v>8</v>
      </c>
      <c r="D8" s="117">
        <v>21</v>
      </c>
      <c r="E8" s="117">
        <v>45</v>
      </c>
      <c r="F8" s="117">
        <v>16</v>
      </c>
      <c r="G8" s="117">
        <v>18</v>
      </c>
      <c r="H8" s="117"/>
      <c r="I8" s="117">
        <v>13</v>
      </c>
      <c r="J8" s="117">
        <v>17</v>
      </c>
      <c r="K8" s="117"/>
      <c r="L8" s="117"/>
      <c r="M8" s="117"/>
      <c r="N8" s="118"/>
      <c r="O8" s="114">
        <f t="shared" si="0"/>
        <v>138</v>
      </c>
    </row>
    <row r="9" spans="1:15" ht="16.5" thickBot="1" x14ac:dyDescent="0.3">
      <c r="A9" s="372"/>
      <c r="B9" s="115" t="s">
        <v>38</v>
      </c>
      <c r="C9" s="116">
        <v>11</v>
      </c>
      <c r="D9" s="117">
        <v>53</v>
      </c>
      <c r="E9" s="117">
        <v>31</v>
      </c>
      <c r="F9" s="117">
        <v>12</v>
      </c>
      <c r="G9" s="117">
        <v>14</v>
      </c>
      <c r="H9" s="117">
        <f>67+2</f>
        <v>69</v>
      </c>
      <c r="I9" s="117">
        <v>9</v>
      </c>
      <c r="J9" s="117">
        <v>34</v>
      </c>
      <c r="K9" s="117"/>
      <c r="L9" s="117"/>
      <c r="M9" s="117"/>
      <c r="N9" s="118"/>
      <c r="O9" s="114">
        <f t="shared" si="0"/>
        <v>233</v>
      </c>
    </row>
    <row r="10" spans="1:15" ht="16.5" thickBot="1" x14ac:dyDescent="0.3">
      <c r="A10" s="372"/>
      <c r="B10" s="115" t="s">
        <v>470</v>
      </c>
      <c r="C10" s="116">
        <v>3</v>
      </c>
      <c r="D10" s="117">
        <v>7</v>
      </c>
      <c r="E10" s="117">
        <v>27</v>
      </c>
      <c r="F10" s="117">
        <v>17</v>
      </c>
      <c r="G10" s="117">
        <v>20</v>
      </c>
      <c r="H10" s="117">
        <v>7</v>
      </c>
      <c r="I10" s="117">
        <v>12</v>
      </c>
      <c r="J10" s="117">
        <v>39</v>
      </c>
      <c r="K10" s="117"/>
      <c r="L10" s="117"/>
      <c r="M10" s="117"/>
      <c r="N10" s="118"/>
      <c r="O10" s="114">
        <f t="shared" si="0"/>
        <v>132</v>
      </c>
    </row>
    <row r="11" spans="1:15" ht="16.5" thickBot="1" x14ac:dyDescent="0.3">
      <c r="A11" s="372"/>
      <c r="B11" s="115" t="s">
        <v>471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114">
        <f t="shared" si="0"/>
        <v>0</v>
      </c>
    </row>
    <row r="12" spans="1:15" ht="16.5" thickBot="1" x14ac:dyDescent="0.3">
      <c r="A12" s="372"/>
      <c r="B12" s="115" t="s">
        <v>472</v>
      </c>
      <c r="C12" s="116"/>
      <c r="D12" s="117">
        <v>20</v>
      </c>
      <c r="E12" s="117">
        <v>30</v>
      </c>
      <c r="F12" s="117">
        <v>14</v>
      </c>
      <c r="G12" s="117">
        <v>18</v>
      </c>
      <c r="H12" s="117">
        <v>28</v>
      </c>
      <c r="I12" s="117">
        <v>4</v>
      </c>
      <c r="J12" s="117">
        <v>31</v>
      </c>
      <c r="K12" s="117"/>
      <c r="L12" s="117"/>
      <c r="M12" s="117"/>
      <c r="N12" s="118"/>
      <c r="O12" s="114">
        <f t="shared" si="0"/>
        <v>145</v>
      </c>
    </row>
    <row r="13" spans="1:15" ht="16.5" thickBot="1" x14ac:dyDescent="0.3">
      <c r="A13" s="372"/>
      <c r="B13" s="119" t="s">
        <v>473</v>
      </c>
      <c r="C13" s="116"/>
      <c r="D13" s="117">
        <v>5</v>
      </c>
      <c r="E13" s="117">
        <v>11</v>
      </c>
      <c r="F13" s="117">
        <v>25</v>
      </c>
      <c r="G13" s="120">
        <v>19</v>
      </c>
      <c r="H13" s="117">
        <f>11+28</f>
        <v>39</v>
      </c>
      <c r="I13" s="117">
        <v>5</v>
      </c>
      <c r="J13" s="117">
        <v>20</v>
      </c>
      <c r="K13" s="117"/>
      <c r="L13" s="117"/>
      <c r="M13" s="117"/>
      <c r="N13" s="118"/>
      <c r="O13" s="114">
        <f t="shared" si="0"/>
        <v>124</v>
      </c>
    </row>
    <row r="14" spans="1:15" ht="16.5" thickBot="1" x14ac:dyDescent="0.3">
      <c r="A14" s="372"/>
      <c r="B14" s="121" t="s">
        <v>474</v>
      </c>
      <c r="C14" s="116"/>
      <c r="D14" s="117"/>
      <c r="E14" s="117">
        <v>13</v>
      </c>
      <c r="F14" s="117"/>
      <c r="G14" s="117"/>
      <c r="H14" s="117">
        <v>168</v>
      </c>
      <c r="I14" s="117">
        <v>102</v>
      </c>
      <c r="J14" s="117"/>
      <c r="K14" s="117"/>
      <c r="L14" s="117"/>
      <c r="M14" s="117"/>
      <c r="N14" s="118"/>
      <c r="O14" s="114">
        <f t="shared" si="0"/>
        <v>283</v>
      </c>
    </row>
    <row r="15" spans="1:15" ht="16.5" thickBot="1" x14ac:dyDescent="0.3">
      <c r="A15" s="372"/>
      <c r="B15" s="121" t="s">
        <v>475</v>
      </c>
      <c r="C15" s="116"/>
      <c r="D15" s="117"/>
      <c r="E15" s="117">
        <v>4</v>
      </c>
      <c r="F15" s="117">
        <v>1</v>
      </c>
      <c r="G15" s="117"/>
      <c r="H15" s="117"/>
      <c r="I15" s="117"/>
      <c r="J15" s="117"/>
      <c r="K15" s="117"/>
      <c r="L15" s="117"/>
      <c r="M15" s="117"/>
      <c r="N15" s="118"/>
      <c r="O15" s="114">
        <f t="shared" si="0"/>
        <v>5</v>
      </c>
    </row>
    <row r="16" spans="1:15" ht="16.5" thickBot="1" x14ac:dyDescent="0.3">
      <c r="A16" s="378"/>
      <c r="B16" s="122" t="s">
        <v>476</v>
      </c>
      <c r="C16" s="123"/>
      <c r="D16" s="124"/>
      <c r="E16" s="124">
        <v>1</v>
      </c>
      <c r="F16" s="124">
        <v>6</v>
      </c>
      <c r="G16" s="124">
        <v>5</v>
      </c>
      <c r="H16" s="124">
        <v>4</v>
      </c>
      <c r="I16" s="124">
        <v>14</v>
      </c>
      <c r="J16" s="124">
        <v>10</v>
      </c>
      <c r="K16" s="124"/>
      <c r="L16" s="124"/>
      <c r="M16" s="124"/>
      <c r="N16" s="125"/>
      <c r="O16" s="114">
        <f t="shared" si="0"/>
        <v>40</v>
      </c>
    </row>
    <row r="17" spans="1:15" ht="16.5" thickBot="1" x14ac:dyDescent="0.3">
      <c r="A17" s="364"/>
      <c r="B17" s="36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14"/>
    </row>
    <row r="18" spans="1:15" ht="16.5" thickBot="1" x14ac:dyDescent="0.3">
      <c r="A18" s="371" t="s">
        <v>477</v>
      </c>
      <c r="B18" s="127" t="s">
        <v>478</v>
      </c>
      <c r="C18" s="111">
        <v>1</v>
      </c>
      <c r="D18" s="112">
        <v>3</v>
      </c>
      <c r="E18" s="112">
        <v>8</v>
      </c>
      <c r="F18" s="112">
        <v>5</v>
      </c>
      <c r="G18" s="112">
        <v>9</v>
      </c>
      <c r="H18" s="112">
        <v>12</v>
      </c>
      <c r="I18" s="112">
        <v>4</v>
      </c>
      <c r="J18" s="112">
        <v>9</v>
      </c>
      <c r="K18" s="112"/>
      <c r="L18" s="112"/>
      <c r="M18" s="112"/>
      <c r="N18" s="113"/>
      <c r="O18" s="114">
        <f t="shared" si="0"/>
        <v>51</v>
      </c>
    </row>
    <row r="19" spans="1:15" ht="16.5" thickBot="1" x14ac:dyDescent="0.3">
      <c r="A19" s="372"/>
      <c r="B19" s="128" t="s">
        <v>479</v>
      </c>
      <c r="C19" s="129"/>
      <c r="D19" s="130">
        <v>2</v>
      </c>
      <c r="E19" s="130">
        <v>3</v>
      </c>
      <c r="F19" s="130"/>
      <c r="G19" s="130">
        <v>1</v>
      </c>
      <c r="H19" s="130"/>
      <c r="I19" s="130">
        <v>73</v>
      </c>
      <c r="J19" s="130"/>
      <c r="K19" s="130"/>
      <c r="L19" s="130"/>
      <c r="M19" s="130"/>
      <c r="N19" s="131"/>
      <c r="O19" s="114">
        <f t="shared" si="0"/>
        <v>79</v>
      </c>
    </row>
    <row r="20" spans="1:15" ht="16.5" thickBot="1" x14ac:dyDescent="0.3">
      <c r="A20" s="364"/>
      <c r="B20" s="365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14">
        <f t="shared" si="0"/>
        <v>0</v>
      </c>
    </row>
    <row r="21" spans="1:15" ht="16.5" thickBot="1" x14ac:dyDescent="0.3">
      <c r="A21" s="376" t="s">
        <v>480</v>
      </c>
      <c r="B21" s="134" t="s">
        <v>481</v>
      </c>
      <c r="C21" s="135">
        <v>6</v>
      </c>
      <c r="D21" s="136">
        <v>11</v>
      </c>
      <c r="E21" s="136">
        <v>20</v>
      </c>
      <c r="F21" s="136">
        <v>12</v>
      </c>
      <c r="G21" s="136">
        <v>19</v>
      </c>
      <c r="H21" s="136">
        <v>8</v>
      </c>
      <c r="I21" s="136">
        <v>12</v>
      </c>
      <c r="J21" s="136">
        <v>20</v>
      </c>
      <c r="K21" s="136"/>
      <c r="L21" s="136"/>
      <c r="M21" s="136"/>
      <c r="N21" s="137"/>
      <c r="O21" s="114">
        <f t="shared" si="0"/>
        <v>108</v>
      </c>
    </row>
    <row r="22" spans="1:15" ht="16.5" thickBot="1" x14ac:dyDescent="0.3">
      <c r="A22" s="376"/>
      <c r="B22" s="115" t="s">
        <v>71</v>
      </c>
      <c r="C22" s="138"/>
      <c r="D22" s="117">
        <v>15</v>
      </c>
      <c r="E22" s="117">
        <v>9</v>
      </c>
      <c r="F22" s="117">
        <v>2</v>
      </c>
      <c r="G22" s="117">
        <v>8</v>
      </c>
      <c r="H22" s="117">
        <v>9</v>
      </c>
      <c r="I22" s="117">
        <v>12</v>
      </c>
      <c r="J22" s="117">
        <v>2</v>
      </c>
      <c r="K22" s="117"/>
      <c r="L22" s="117"/>
      <c r="M22" s="117"/>
      <c r="N22" s="118"/>
      <c r="O22" s="114">
        <f t="shared" si="0"/>
        <v>57</v>
      </c>
    </row>
    <row r="23" spans="1:15" ht="16.5" thickBot="1" x14ac:dyDescent="0.3">
      <c r="A23" s="376"/>
      <c r="B23" s="115" t="s">
        <v>482</v>
      </c>
      <c r="C23" s="138"/>
      <c r="D23" s="117">
        <v>2</v>
      </c>
      <c r="E23" s="117"/>
      <c r="F23" s="117">
        <v>2</v>
      </c>
      <c r="G23" s="117">
        <v>9</v>
      </c>
      <c r="H23" s="117">
        <v>3</v>
      </c>
      <c r="I23" s="117">
        <v>4</v>
      </c>
      <c r="J23" s="117">
        <v>8</v>
      </c>
      <c r="K23" s="117"/>
      <c r="L23" s="117"/>
      <c r="M23" s="117"/>
      <c r="N23" s="118"/>
      <c r="O23" s="114">
        <f t="shared" si="0"/>
        <v>28</v>
      </c>
    </row>
    <row r="24" spans="1:15" ht="16.5" thickBot="1" x14ac:dyDescent="0.3">
      <c r="A24" s="376"/>
      <c r="B24" s="115" t="s">
        <v>483</v>
      </c>
      <c r="C24" s="138">
        <v>2</v>
      </c>
      <c r="D24" s="117">
        <v>4</v>
      </c>
      <c r="E24" s="117">
        <v>7</v>
      </c>
      <c r="F24" s="117">
        <v>10</v>
      </c>
      <c r="G24" s="117">
        <v>5</v>
      </c>
      <c r="H24" s="117">
        <v>6</v>
      </c>
      <c r="I24" s="117">
        <v>3</v>
      </c>
      <c r="J24" s="117">
        <v>2</v>
      </c>
      <c r="K24" s="117"/>
      <c r="L24" s="117"/>
      <c r="M24" s="117"/>
      <c r="N24" s="118"/>
      <c r="O24" s="114">
        <f t="shared" si="0"/>
        <v>39</v>
      </c>
    </row>
    <row r="25" spans="1:15" ht="16.5" thickBot="1" x14ac:dyDescent="0.3">
      <c r="A25" s="376"/>
      <c r="B25" s="115" t="s">
        <v>484</v>
      </c>
      <c r="C25" s="138">
        <v>4</v>
      </c>
      <c r="D25" s="117">
        <v>7</v>
      </c>
      <c r="E25" s="117">
        <v>14</v>
      </c>
      <c r="F25" s="117">
        <v>11</v>
      </c>
      <c r="G25" s="117">
        <v>13</v>
      </c>
      <c r="H25" s="117">
        <v>7</v>
      </c>
      <c r="I25" s="117">
        <v>4</v>
      </c>
      <c r="J25" s="117">
        <v>2</v>
      </c>
      <c r="K25" s="117"/>
      <c r="L25" s="117"/>
      <c r="M25" s="117"/>
      <c r="N25" s="118"/>
      <c r="O25" s="114">
        <f t="shared" si="0"/>
        <v>62</v>
      </c>
    </row>
    <row r="26" spans="1:15" ht="16.5" thickBot="1" x14ac:dyDescent="0.3">
      <c r="A26" s="376"/>
      <c r="B26" s="115" t="s">
        <v>485</v>
      </c>
      <c r="C26" s="138">
        <v>1</v>
      </c>
      <c r="D26" s="117">
        <v>4</v>
      </c>
      <c r="E26" s="117">
        <v>7</v>
      </c>
      <c r="F26" s="117"/>
      <c r="G26" s="117">
        <v>6</v>
      </c>
      <c r="H26" s="117"/>
      <c r="I26" s="117">
        <v>4</v>
      </c>
      <c r="J26" s="117">
        <v>8</v>
      </c>
      <c r="K26" s="117"/>
      <c r="L26" s="117"/>
      <c r="M26" s="117"/>
      <c r="N26" s="118"/>
      <c r="O26" s="114">
        <f t="shared" si="0"/>
        <v>30</v>
      </c>
    </row>
    <row r="27" spans="1:15" ht="16.5" thickBot="1" x14ac:dyDescent="0.3">
      <c r="A27" s="376"/>
      <c r="B27" s="115" t="s">
        <v>486</v>
      </c>
      <c r="C27" s="138"/>
      <c r="D27" s="117">
        <v>15</v>
      </c>
      <c r="E27" s="117">
        <v>20</v>
      </c>
      <c r="F27" s="117">
        <v>48</v>
      </c>
      <c r="G27" s="117">
        <v>13</v>
      </c>
      <c r="H27" s="117">
        <v>49</v>
      </c>
      <c r="I27" s="117">
        <v>10</v>
      </c>
      <c r="J27" s="117">
        <v>11</v>
      </c>
      <c r="K27" s="117"/>
      <c r="L27" s="117"/>
      <c r="M27" s="117"/>
      <c r="N27" s="118"/>
      <c r="O27" s="114">
        <f t="shared" si="0"/>
        <v>166</v>
      </c>
    </row>
    <row r="28" spans="1:15" ht="16.5" thickBot="1" x14ac:dyDescent="0.3">
      <c r="A28" s="376"/>
      <c r="B28" s="115" t="s">
        <v>487</v>
      </c>
      <c r="C28" s="138"/>
      <c r="D28" s="117">
        <v>11</v>
      </c>
      <c r="E28" s="117"/>
      <c r="F28" s="117"/>
      <c r="G28" s="117">
        <v>2</v>
      </c>
      <c r="H28" s="117"/>
      <c r="I28" s="117"/>
      <c r="J28" s="117"/>
      <c r="K28" s="117"/>
      <c r="L28" s="117"/>
      <c r="M28" s="117"/>
      <c r="N28" s="118"/>
      <c r="O28" s="114">
        <f t="shared" si="0"/>
        <v>13</v>
      </c>
    </row>
    <row r="29" spans="1:15" ht="16.5" thickBot="1" x14ac:dyDescent="0.3">
      <c r="A29" s="375"/>
      <c r="B29" s="139" t="s">
        <v>488</v>
      </c>
      <c r="C29" s="140"/>
      <c r="D29" s="124"/>
      <c r="E29" s="124">
        <v>19</v>
      </c>
      <c r="F29" s="124">
        <v>1</v>
      </c>
      <c r="G29" s="124">
        <v>3</v>
      </c>
      <c r="H29" s="124">
        <v>7</v>
      </c>
      <c r="I29" s="124">
        <v>1</v>
      </c>
      <c r="J29" s="124">
        <v>14</v>
      </c>
      <c r="K29" s="124"/>
      <c r="L29" s="124"/>
      <c r="M29" s="124"/>
      <c r="N29" s="125"/>
      <c r="O29" s="114">
        <f t="shared" si="0"/>
        <v>45</v>
      </c>
    </row>
    <row r="30" spans="1:15" ht="16.5" thickBot="1" x14ac:dyDescent="0.3">
      <c r="A30" s="364"/>
      <c r="B30" s="36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41"/>
      <c r="O30" s="114"/>
    </row>
    <row r="31" spans="1:15" ht="16.5" thickBot="1" x14ac:dyDescent="0.3">
      <c r="A31" s="373" t="s">
        <v>489</v>
      </c>
      <c r="B31" s="110" t="s">
        <v>490</v>
      </c>
      <c r="C31" s="111">
        <v>22</v>
      </c>
      <c r="D31" s="112">
        <v>69</v>
      </c>
      <c r="E31" s="112">
        <v>88</v>
      </c>
      <c r="F31" s="112">
        <v>47</v>
      </c>
      <c r="G31" s="112">
        <v>74</v>
      </c>
      <c r="H31" s="112">
        <f>1+52</f>
        <v>53</v>
      </c>
      <c r="I31" s="112">
        <v>60</v>
      </c>
      <c r="J31" s="112">
        <v>112</v>
      </c>
      <c r="K31" s="112"/>
      <c r="L31" s="112"/>
      <c r="M31" s="112"/>
      <c r="N31" s="113"/>
      <c r="O31" s="114">
        <f t="shared" si="0"/>
        <v>525</v>
      </c>
    </row>
    <row r="32" spans="1:15" ht="16.5" thickBot="1" x14ac:dyDescent="0.3">
      <c r="A32" s="369"/>
      <c r="B32" s="115" t="s">
        <v>30</v>
      </c>
      <c r="C32" s="116"/>
      <c r="D32" s="117"/>
      <c r="E32" s="117"/>
      <c r="F32" s="117">
        <v>6</v>
      </c>
      <c r="G32" s="117"/>
      <c r="H32" s="117"/>
      <c r="I32" s="117"/>
      <c r="J32" s="117">
        <v>5</v>
      </c>
      <c r="K32" s="117"/>
      <c r="L32" s="117"/>
      <c r="M32" s="117"/>
      <c r="N32" s="118"/>
      <c r="O32" s="114">
        <f t="shared" si="0"/>
        <v>11</v>
      </c>
    </row>
    <row r="33" spans="1:15" ht="16.5" thickBot="1" x14ac:dyDescent="0.3">
      <c r="A33" s="370"/>
      <c r="B33" s="139" t="s">
        <v>491</v>
      </c>
      <c r="C33" s="123"/>
      <c r="D33" s="124"/>
      <c r="E33" s="124"/>
      <c r="F33" s="124"/>
      <c r="G33" s="124">
        <v>54</v>
      </c>
      <c r="H33" s="124"/>
      <c r="I33" s="124"/>
      <c r="J33" s="124"/>
      <c r="K33" s="124"/>
      <c r="L33" s="124"/>
      <c r="M33" s="124"/>
      <c r="N33" s="125"/>
      <c r="O33" s="114">
        <f t="shared" si="0"/>
        <v>54</v>
      </c>
    </row>
    <row r="34" spans="1:15" ht="16.5" thickBot="1" x14ac:dyDescent="0.3">
      <c r="A34" s="364"/>
      <c r="B34" s="365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14"/>
    </row>
    <row r="35" spans="1:15" ht="16.5" thickBot="1" x14ac:dyDescent="0.3">
      <c r="A35" s="374" t="s">
        <v>87</v>
      </c>
      <c r="B35" s="144" t="s">
        <v>38</v>
      </c>
      <c r="C35" s="111"/>
      <c r="D35" s="112"/>
      <c r="E35" s="112"/>
      <c r="F35" s="112">
        <v>1</v>
      </c>
      <c r="G35" s="112">
        <v>2</v>
      </c>
      <c r="H35" s="112">
        <v>2</v>
      </c>
      <c r="I35" s="112"/>
      <c r="J35" s="112">
        <v>3</v>
      </c>
      <c r="K35" s="112"/>
      <c r="L35" s="112"/>
      <c r="M35" s="112"/>
      <c r="N35" s="113"/>
      <c r="O35" s="114">
        <f t="shared" si="0"/>
        <v>8</v>
      </c>
    </row>
    <row r="36" spans="1:15" ht="16.5" thickBot="1" x14ac:dyDescent="0.3">
      <c r="A36" s="375"/>
      <c r="B36" s="145" t="s">
        <v>91</v>
      </c>
      <c r="C36" s="123"/>
      <c r="D36" s="124">
        <v>5</v>
      </c>
      <c r="E36" s="124">
        <v>3</v>
      </c>
      <c r="F36" s="124">
        <v>5</v>
      </c>
      <c r="G36" s="124">
        <v>5</v>
      </c>
      <c r="H36" s="124">
        <f>2+6</f>
        <v>8</v>
      </c>
      <c r="I36" s="124">
        <v>2</v>
      </c>
      <c r="J36" s="124">
        <v>1</v>
      </c>
      <c r="K36" s="124"/>
      <c r="L36" s="124"/>
      <c r="M36" s="124"/>
      <c r="N36" s="125"/>
      <c r="O36" s="114">
        <f t="shared" si="0"/>
        <v>29</v>
      </c>
    </row>
    <row r="37" spans="1:15" ht="16.5" thickBot="1" x14ac:dyDescent="0.3">
      <c r="A37" s="364"/>
      <c r="B37" s="365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114"/>
    </row>
    <row r="38" spans="1:15" ht="16.5" thickBot="1" x14ac:dyDescent="0.3">
      <c r="A38" s="373" t="s">
        <v>124</v>
      </c>
      <c r="B38" s="146" t="s">
        <v>125</v>
      </c>
      <c r="C38" s="111"/>
      <c r="D38" s="112">
        <v>4</v>
      </c>
      <c r="E38" s="112">
        <v>2</v>
      </c>
      <c r="F38" s="112">
        <v>9</v>
      </c>
      <c r="G38" s="112">
        <v>7</v>
      </c>
      <c r="H38" s="112">
        <v>2</v>
      </c>
      <c r="I38" s="112">
        <v>4</v>
      </c>
      <c r="J38" s="112">
        <v>4</v>
      </c>
      <c r="K38" s="112"/>
      <c r="L38" s="112"/>
      <c r="M38" s="112"/>
      <c r="N38" s="113"/>
      <c r="O38" s="114">
        <f t="shared" si="0"/>
        <v>32</v>
      </c>
    </row>
    <row r="39" spans="1:15" ht="16.5" thickBot="1" x14ac:dyDescent="0.3">
      <c r="A39" s="369"/>
      <c r="B39" s="147" t="s">
        <v>130</v>
      </c>
      <c r="C39" s="116"/>
      <c r="D39" s="117"/>
      <c r="E39" s="117">
        <v>4</v>
      </c>
      <c r="F39" s="117">
        <v>4</v>
      </c>
      <c r="G39" s="117">
        <v>3</v>
      </c>
      <c r="H39" s="117"/>
      <c r="I39" s="117"/>
      <c r="J39" s="117">
        <v>7</v>
      </c>
      <c r="K39" s="117"/>
      <c r="L39" s="117"/>
      <c r="M39" s="117"/>
      <c r="N39" s="118"/>
      <c r="O39" s="114">
        <f t="shared" si="0"/>
        <v>18</v>
      </c>
    </row>
    <row r="40" spans="1:15" ht="16.5" thickBot="1" x14ac:dyDescent="0.3">
      <c r="A40" s="370"/>
      <c r="B40" s="148" t="s">
        <v>492</v>
      </c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14">
        <f t="shared" si="0"/>
        <v>0</v>
      </c>
    </row>
    <row r="41" spans="1:15" ht="16.5" thickBot="1" x14ac:dyDescent="0.3">
      <c r="A41" s="364"/>
      <c r="B41" s="365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14"/>
    </row>
    <row r="42" spans="1:15" ht="16.5" thickBot="1" x14ac:dyDescent="0.3">
      <c r="A42" s="374" t="s">
        <v>29</v>
      </c>
      <c r="B42" s="149" t="s">
        <v>30</v>
      </c>
      <c r="C42" s="111"/>
      <c r="D42" s="112"/>
      <c r="E42" s="112">
        <v>2</v>
      </c>
      <c r="F42" s="112"/>
      <c r="G42" s="112"/>
      <c r="H42" s="112">
        <v>2</v>
      </c>
      <c r="I42" s="112"/>
      <c r="J42" s="112"/>
      <c r="K42" s="112"/>
      <c r="L42" s="112"/>
      <c r="M42" s="112"/>
      <c r="N42" s="113"/>
      <c r="O42" s="114">
        <f t="shared" si="0"/>
        <v>4</v>
      </c>
    </row>
    <row r="43" spans="1:15" ht="16.350000000000001" customHeight="1" thickBot="1" x14ac:dyDescent="0.3">
      <c r="A43" s="376"/>
      <c r="B43" s="150" t="s">
        <v>34</v>
      </c>
      <c r="C43" s="116"/>
      <c r="D43" s="117"/>
      <c r="E43" s="117">
        <v>19</v>
      </c>
      <c r="F43" s="117"/>
      <c r="G43" s="120">
        <v>4</v>
      </c>
      <c r="H43" s="117">
        <f>2+10</f>
        <v>12</v>
      </c>
      <c r="I43" s="117"/>
      <c r="J43" s="117"/>
      <c r="K43" s="117"/>
      <c r="L43" s="117"/>
      <c r="M43" s="117"/>
      <c r="N43" s="118"/>
      <c r="O43" s="114">
        <f t="shared" si="0"/>
        <v>35</v>
      </c>
    </row>
    <row r="44" spans="1:15" s="151" customFormat="1" ht="16.5" thickBot="1" x14ac:dyDescent="0.3">
      <c r="A44" s="376"/>
      <c r="B44" s="115" t="s">
        <v>38</v>
      </c>
      <c r="C44" s="116"/>
      <c r="D44" s="117"/>
      <c r="E44" s="117">
        <v>15</v>
      </c>
      <c r="F44" s="117">
        <v>3</v>
      </c>
      <c r="G44" s="117">
        <v>1</v>
      </c>
      <c r="H44" s="117"/>
      <c r="I44" s="117"/>
      <c r="J44" s="117"/>
      <c r="K44" s="117"/>
      <c r="L44" s="117"/>
      <c r="M44" s="117"/>
      <c r="N44" s="118"/>
      <c r="O44" s="114">
        <f t="shared" si="0"/>
        <v>19</v>
      </c>
    </row>
    <row r="45" spans="1:15" ht="16.5" thickBot="1" x14ac:dyDescent="0.3">
      <c r="A45" s="376"/>
      <c r="B45" s="115" t="s">
        <v>42</v>
      </c>
      <c r="C45" s="116"/>
      <c r="D45" s="117"/>
      <c r="E45" s="117"/>
      <c r="F45" s="117"/>
      <c r="G45" s="117">
        <v>36</v>
      </c>
      <c r="H45" s="117"/>
      <c r="I45" s="117"/>
      <c r="J45" s="117"/>
      <c r="K45" s="117"/>
      <c r="L45" s="117"/>
      <c r="M45" s="117"/>
      <c r="N45" s="118"/>
      <c r="O45" s="114">
        <f t="shared" si="0"/>
        <v>36</v>
      </c>
    </row>
    <row r="46" spans="1:15" ht="16.5" thickBot="1" x14ac:dyDescent="0.3">
      <c r="A46" s="375"/>
      <c r="B46" s="152" t="s">
        <v>46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14">
        <f t="shared" si="0"/>
        <v>0</v>
      </c>
    </row>
    <row r="47" spans="1:15" ht="16.5" thickBot="1" x14ac:dyDescent="0.3">
      <c r="A47" s="364"/>
      <c r="B47" s="365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  <c r="O47" s="114"/>
    </row>
    <row r="48" spans="1:15" ht="16.5" thickBot="1" x14ac:dyDescent="0.3">
      <c r="A48" s="153" t="s">
        <v>66</v>
      </c>
      <c r="B48" s="154" t="s">
        <v>67</v>
      </c>
      <c r="C48" s="155"/>
      <c r="D48" s="156"/>
      <c r="E48" s="156">
        <v>4</v>
      </c>
      <c r="F48" s="156">
        <v>1</v>
      </c>
      <c r="G48" s="156"/>
      <c r="H48" s="156">
        <v>2</v>
      </c>
      <c r="I48" s="156"/>
      <c r="J48" s="156">
        <v>5</v>
      </c>
      <c r="K48" s="156"/>
      <c r="L48" s="156"/>
      <c r="M48" s="156"/>
      <c r="N48" s="157"/>
      <c r="O48" s="114">
        <f t="shared" si="0"/>
        <v>12</v>
      </c>
    </row>
    <row r="49" spans="1:15" ht="16.5" thickBot="1" x14ac:dyDescent="0.3">
      <c r="A49" s="364"/>
      <c r="B49" s="377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41"/>
      <c r="O49" s="114"/>
    </row>
    <row r="50" spans="1:15" ht="16.5" thickBot="1" x14ac:dyDescent="0.3">
      <c r="A50" s="373" t="s">
        <v>165</v>
      </c>
      <c r="B50" s="110" t="s">
        <v>493</v>
      </c>
      <c r="C50" s="111"/>
      <c r="D50" s="112"/>
      <c r="E50" s="112"/>
      <c r="F50" s="112">
        <v>1</v>
      </c>
      <c r="G50" s="112">
        <v>1</v>
      </c>
      <c r="H50" s="112"/>
      <c r="I50" s="112"/>
      <c r="J50" s="112"/>
      <c r="K50" s="112"/>
      <c r="L50" s="112"/>
      <c r="M50" s="112"/>
      <c r="N50" s="113"/>
      <c r="O50" s="114">
        <f t="shared" si="0"/>
        <v>2</v>
      </c>
    </row>
    <row r="51" spans="1:15" ht="16.5" thickBot="1" x14ac:dyDescent="0.3">
      <c r="A51" s="370"/>
      <c r="B51" s="139" t="s">
        <v>166</v>
      </c>
      <c r="C51" s="123">
        <v>1</v>
      </c>
      <c r="D51" s="124"/>
      <c r="E51" s="124">
        <v>3</v>
      </c>
      <c r="F51" s="124">
        <v>6</v>
      </c>
      <c r="G51" s="124">
        <v>1</v>
      </c>
      <c r="H51" s="124">
        <v>14</v>
      </c>
      <c r="I51" s="124">
        <v>1</v>
      </c>
      <c r="J51" s="124">
        <v>6</v>
      </c>
      <c r="K51" s="124"/>
      <c r="L51" s="124"/>
      <c r="M51" s="124"/>
      <c r="N51" s="125"/>
      <c r="O51" s="114">
        <f t="shared" si="0"/>
        <v>32</v>
      </c>
    </row>
    <row r="52" spans="1:15" ht="16.5" thickBot="1" x14ac:dyDescent="0.3">
      <c r="A52" s="364"/>
      <c r="B52" s="36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14"/>
    </row>
    <row r="53" spans="1:15" ht="16.5" thickBot="1" x14ac:dyDescent="0.3">
      <c r="A53" s="371" t="s">
        <v>494</v>
      </c>
      <c r="B53" s="144" t="s">
        <v>9</v>
      </c>
      <c r="C53" s="111"/>
      <c r="D53" s="112"/>
      <c r="E53" s="112">
        <v>1</v>
      </c>
      <c r="F53" s="112">
        <v>1</v>
      </c>
      <c r="G53" s="112">
        <v>6</v>
      </c>
      <c r="H53" s="112"/>
      <c r="I53" s="112"/>
      <c r="J53" s="112"/>
      <c r="K53" s="112"/>
      <c r="L53" s="112"/>
      <c r="M53" s="112"/>
      <c r="N53" s="113"/>
      <c r="O53" s="114">
        <f t="shared" si="0"/>
        <v>8</v>
      </c>
    </row>
    <row r="54" spans="1:15" ht="16.5" customHeight="1" thickBot="1" x14ac:dyDescent="0.3">
      <c r="A54" s="372"/>
      <c r="B54" s="158" t="s">
        <v>13</v>
      </c>
      <c r="C54" s="123"/>
      <c r="D54" s="124"/>
      <c r="E54" s="124">
        <v>1</v>
      </c>
      <c r="F54" s="124"/>
      <c r="G54" s="124"/>
      <c r="H54" s="124">
        <v>6</v>
      </c>
      <c r="I54" s="124">
        <v>4</v>
      </c>
      <c r="J54" s="124">
        <v>6</v>
      </c>
      <c r="K54" s="124"/>
      <c r="L54" s="124"/>
      <c r="M54" s="124"/>
      <c r="N54" s="125"/>
      <c r="O54" s="114">
        <f t="shared" si="0"/>
        <v>17</v>
      </c>
    </row>
    <row r="55" spans="1:15" ht="16.5" thickBot="1" x14ac:dyDescent="0.3">
      <c r="A55" s="364"/>
      <c r="B55" s="365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60"/>
      <c r="O55" s="114"/>
    </row>
    <row r="56" spans="1:15" ht="16.5" thickBot="1" x14ac:dyDescent="0.3">
      <c r="A56" s="368" t="s">
        <v>198</v>
      </c>
      <c r="B56" s="161" t="s">
        <v>199</v>
      </c>
      <c r="C56" s="111">
        <v>1</v>
      </c>
      <c r="D56" s="112"/>
      <c r="E56" s="112">
        <v>7</v>
      </c>
      <c r="F56" s="112">
        <v>4</v>
      </c>
      <c r="G56" s="112">
        <v>8</v>
      </c>
      <c r="H56" s="112">
        <v>1</v>
      </c>
      <c r="I56" s="112"/>
      <c r="J56" s="112">
        <v>2</v>
      </c>
      <c r="K56" s="112"/>
      <c r="L56" s="112"/>
      <c r="M56" s="112"/>
      <c r="N56" s="113"/>
      <c r="O56" s="114">
        <f t="shared" si="0"/>
        <v>23</v>
      </c>
    </row>
    <row r="57" spans="1:15" ht="16.5" thickBot="1" x14ac:dyDescent="0.3">
      <c r="A57" s="369"/>
      <c r="B57" s="162" t="s">
        <v>203</v>
      </c>
      <c r="C57" s="116">
        <v>4</v>
      </c>
      <c r="D57" s="117">
        <v>8</v>
      </c>
      <c r="E57" s="117">
        <v>6</v>
      </c>
      <c r="F57" s="117">
        <v>2</v>
      </c>
      <c r="G57" s="117"/>
      <c r="H57" s="117">
        <v>8</v>
      </c>
      <c r="I57" s="117">
        <v>3</v>
      </c>
      <c r="J57" s="117">
        <v>5</v>
      </c>
      <c r="K57" s="117"/>
      <c r="L57" s="117"/>
      <c r="M57" s="117"/>
      <c r="N57" s="118"/>
      <c r="O57" s="114">
        <f t="shared" si="0"/>
        <v>36</v>
      </c>
    </row>
    <row r="58" spans="1:15" ht="16.5" thickBot="1" x14ac:dyDescent="0.3">
      <c r="A58" s="370"/>
      <c r="B58" s="163" t="s">
        <v>206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14">
        <f t="shared" si="0"/>
        <v>0</v>
      </c>
    </row>
    <row r="59" spans="1:15" ht="16.5" thickBot="1" x14ac:dyDescent="0.3">
      <c r="A59" s="364"/>
      <c r="B59" s="365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14"/>
    </row>
    <row r="60" spans="1:15" ht="16.5" thickBot="1" x14ac:dyDescent="0.3">
      <c r="A60" s="164" t="s">
        <v>185</v>
      </c>
      <c r="B60" s="165" t="s">
        <v>186</v>
      </c>
      <c r="C60" s="155"/>
      <c r="D60" s="156">
        <v>4</v>
      </c>
      <c r="E60" s="156"/>
      <c r="F60" s="156"/>
      <c r="G60" s="156"/>
      <c r="H60" s="156"/>
      <c r="I60" s="156"/>
      <c r="J60" s="156">
        <v>2</v>
      </c>
      <c r="K60" s="156"/>
      <c r="L60" s="156"/>
      <c r="M60" s="156"/>
      <c r="N60" s="157"/>
      <c r="O60" s="114">
        <f t="shared" si="0"/>
        <v>6</v>
      </c>
    </row>
    <row r="61" spans="1:15" ht="16.5" thickBot="1" x14ac:dyDescent="0.3">
      <c r="A61" s="364"/>
      <c r="B61" s="365"/>
      <c r="C61" s="16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41"/>
      <c r="O61" s="114"/>
    </row>
    <row r="62" spans="1:15" ht="16.5" thickBot="1" x14ac:dyDescent="0.3">
      <c r="A62" s="167" t="s">
        <v>210</v>
      </c>
      <c r="B62" s="168" t="s">
        <v>211</v>
      </c>
      <c r="C62" s="169"/>
      <c r="D62" s="170"/>
      <c r="E62" s="170"/>
      <c r="F62" s="170"/>
      <c r="G62" s="170">
        <v>9</v>
      </c>
      <c r="H62" s="170"/>
      <c r="I62" s="170"/>
      <c r="J62" s="170"/>
      <c r="K62" s="170"/>
      <c r="L62" s="170"/>
      <c r="M62" s="170"/>
      <c r="N62" s="171"/>
      <c r="O62" s="114">
        <f t="shared" si="0"/>
        <v>9</v>
      </c>
    </row>
    <row r="63" spans="1:15" ht="16.5" thickBot="1" x14ac:dyDescent="0.3">
      <c r="A63" s="364"/>
      <c r="B63" s="365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14">
        <f t="shared" si="0"/>
        <v>0</v>
      </c>
    </row>
    <row r="64" spans="1:15" ht="16.5" thickBot="1" x14ac:dyDescent="0.3">
      <c r="A64" s="368" t="s">
        <v>227</v>
      </c>
      <c r="B64" s="149" t="s">
        <v>228</v>
      </c>
      <c r="C64" s="173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7"/>
      <c r="O64" s="114">
        <f t="shared" si="0"/>
        <v>0</v>
      </c>
    </row>
    <row r="65" spans="1:15" ht="16.5" thickBot="1" x14ac:dyDescent="0.3">
      <c r="A65" s="369"/>
      <c r="B65" s="162" t="s">
        <v>232</v>
      </c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8"/>
      <c r="O65" s="114">
        <f t="shared" si="0"/>
        <v>0</v>
      </c>
    </row>
    <row r="66" spans="1:15" ht="16.5" thickBot="1" x14ac:dyDescent="0.3">
      <c r="A66" s="369"/>
      <c r="B66" s="174" t="s">
        <v>236</v>
      </c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8"/>
      <c r="O66" s="114">
        <f t="shared" si="0"/>
        <v>0</v>
      </c>
    </row>
    <row r="67" spans="1:15" ht="16.5" thickBot="1" x14ac:dyDescent="0.3">
      <c r="A67" s="369"/>
      <c r="B67" s="174" t="s">
        <v>240</v>
      </c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  <c r="O67" s="114">
        <f t="shared" si="0"/>
        <v>0</v>
      </c>
    </row>
    <row r="68" spans="1:15" ht="16.5" thickBot="1" x14ac:dyDescent="0.3">
      <c r="A68" s="370"/>
      <c r="B68" s="152" t="s">
        <v>244</v>
      </c>
      <c r="C68" s="129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1"/>
      <c r="O68" s="114">
        <f t="shared" ref="O68:O70" si="1">SUM(C68:N68)</f>
        <v>0</v>
      </c>
    </row>
    <row r="69" spans="1:15" ht="16.5" thickBot="1" x14ac:dyDescent="0.3">
      <c r="A69" s="364"/>
      <c r="B69" s="36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14">
        <f t="shared" si="1"/>
        <v>0</v>
      </c>
    </row>
    <row r="70" spans="1:15" ht="28.35" customHeight="1" thickBot="1" x14ac:dyDescent="0.3">
      <c r="A70" s="176" t="s">
        <v>495</v>
      </c>
      <c r="B70" s="177"/>
      <c r="C70" s="178"/>
      <c r="D70" s="179"/>
      <c r="E70" s="180"/>
      <c r="F70" s="180">
        <v>1</v>
      </c>
      <c r="G70" s="180"/>
      <c r="H70" s="180"/>
      <c r="I70" s="180"/>
      <c r="J70" s="181">
        <v>2</v>
      </c>
      <c r="K70" s="180"/>
      <c r="L70" s="180"/>
      <c r="M70" s="180"/>
      <c r="N70" s="182"/>
      <c r="O70" s="181">
        <f t="shared" si="1"/>
        <v>3</v>
      </c>
    </row>
    <row r="71" spans="1:15" ht="33" customHeight="1" thickBot="1" x14ac:dyDescent="0.3">
      <c r="A71" s="183"/>
      <c r="B71" s="151"/>
      <c r="C71" s="184">
        <f>SUM(C2:C70)</f>
        <v>73</v>
      </c>
      <c r="D71" s="184">
        <f t="shared" ref="D71:O71" si="2">SUM(D2:D70)</f>
        <v>275</v>
      </c>
      <c r="E71" s="184">
        <f t="shared" si="2"/>
        <v>450</v>
      </c>
      <c r="F71" s="184">
        <f t="shared" si="2"/>
        <v>328</v>
      </c>
      <c r="G71" s="184">
        <f t="shared" si="2"/>
        <v>423</v>
      </c>
      <c r="H71" s="184">
        <f t="shared" si="2"/>
        <v>541</v>
      </c>
      <c r="I71" s="184">
        <f t="shared" si="2"/>
        <v>386</v>
      </c>
      <c r="J71" s="184">
        <f t="shared" si="2"/>
        <v>419</v>
      </c>
      <c r="K71" s="184">
        <f t="shared" si="2"/>
        <v>0</v>
      </c>
      <c r="L71" s="184">
        <f t="shared" si="2"/>
        <v>0</v>
      </c>
      <c r="M71" s="184">
        <f t="shared" si="2"/>
        <v>0</v>
      </c>
      <c r="N71" s="184">
        <f t="shared" si="2"/>
        <v>0</v>
      </c>
      <c r="O71" s="185">
        <f t="shared" si="2"/>
        <v>2895</v>
      </c>
    </row>
    <row r="75" spans="1:15" ht="15.75" x14ac:dyDescent="0.25">
      <c r="A75" s="366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</row>
    <row r="76" spans="1:15" ht="15.75" x14ac:dyDescent="0.25">
      <c r="A76" s="183"/>
      <c r="B76" s="151"/>
      <c r="C76" s="151"/>
      <c r="D76" s="151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7"/>
    </row>
    <row r="77" spans="1:15" ht="15.75" x14ac:dyDescent="0.25">
      <c r="A77" s="366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</row>
    <row r="78" spans="1:15" ht="15.75" x14ac:dyDescent="0.25">
      <c r="A78" s="366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</row>
  </sheetData>
  <mergeCells count="28">
    <mergeCell ref="A30:B30"/>
    <mergeCell ref="A2:A16"/>
    <mergeCell ref="A17:B17"/>
    <mergeCell ref="A18:A19"/>
    <mergeCell ref="A20:B20"/>
    <mergeCell ref="A21:A29"/>
    <mergeCell ref="A53:A54"/>
    <mergeCell ref="A31:A33"/>
    <mergeCell ref="A34:B34"/>
    <mergeCell ref="A35:A36"/>
    <mergeCell ref="A37:B37"/>
    <mergeCell ref="A38:A40"/>
    <mergeCell ref="A41:B41"/>
    <mergeCell ref="A42:A46"/>
    <mergeCell ref="A47:B47"/>
    <mergeCell ref="A49:B49"/>
    <mergeCell ref="A50:A51"/>
    <mergeCell ref="A52:B52"/>
    <mergeCell ref="A69:B69"/>
    <mergeCell ref="A75:O75"/>
    <mergeCell ref="A77:O77"/>
    <mergeCell ref="A78:O78"/>
    <mergeCell ref="A55:B55"/>
    <mergeCell ref="A56:A58"/>
    <mergeCell ref="A59:B59"/>
    <mergeCell ref="A61:B61"/>
    <mergeCell ref="A63:B63"/>
    <mergeCell ref="A64:A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A5F2517D5E6840BFD128F29F0DCD28" ma:contentTypeVersion="0" ma:contentTypeDescription="Crear nuevo documento." ma:contentTypeScope="" ma:versionID="a781f7d223750e94eadb8cf5244714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88F93-430A-46E0-8514-0B375DA0D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027FFA-FB51-4479-9224-AE77E8D69D57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257F6-C46F-4CCC-9593-4D21094919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Hoteles nuevos</vt:lpstr>
      <vt:lpstr>Valor viáticos ciudades-2017</vt:lpstr>
      <vt:lpstr>TARIFAS COMPARATIVAS </vt:lpstr>
      <vt:lpstr>VIÁTICOS CIUDADES-2021</vt:lpstr>
      <vt:lpstr>A NIVEL NACIONAL</vt:lpstr>
      <vt:lpstr>PUEBLOS-ANTIOQUIA</vt:lpstr>
      <vt:lpstr>TOTAL NOCHES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Viáticos nacionales </dc:title>
  <dc:subject/>
  <dc:creator>Luz Elena Loaiza Henao</dc:creator>
  <cp:keywords/>
  <dc:description/>
  <cp:lastModifiedBy>Jessica Paola Arbelaez Camaño</cp:lastModifiedBy>
  <cp:revision/>
  <dcterms:created xsi:type="dcterms:W3CDTF">2016-03-14T18:47:58Z</dcterms:created>
  <dcterms:modified xsi:type="dcterms:W3CDTF">2023-01-27T19:36:28Z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0x0101005FA5F2517D5E6840BFD128F29F0DCD28</vt:lpwstr>
  </property>
</Properties>
</file>